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ЭтаКнига" defaultThemeVersion="124226"/>
  <mc:AlternateContent xmlns:mc="http://schemas.openxmlformats.org/markup-compatibility/2006">
    <mc:Choice Requires="x15">
      <x15ac:absPath xmlns:x15ac="http://schemas.microsoft.com/office/spreadsheetml/2010/11/ac" url="\\bis.bashtel.ru\deps\OUZ\01. ОУЗ\2019\Запрос котировок\04.Апрель\Р_НЕМСП_Умный дом 2 этап\Закупочная\Техническое задание\"/>
    </mc:Choice>
  </mc:AlternateContent>
  <bookViews>
    <workbookView xWindow="0" yWindow="0" windowWidth="24000" windowHeight="9375"/>
  </bookViews>
  <sheets>
    <sheet name="УР на компл. решения-2 этап" sheetId="4" r:id="rId1"/>
    <sheet name="Лист1" sheetId="5" state="hidden" r:id="rId2"/>
  </sheets>
  <definedNames>
    <definedName name="_xlnm.Print_Area" localSheetId="0">'УР на компл. решения-2 этап'!$A$3:$H$216</definedName>
  </definedNames>
  <calcPr calcId="152511"/>
</workbook>
</file>

<file path=xl/calcChain.xml><?xml version="1.0" encoding="utf-8"?>
<calcChain xmlns="http://schemas.openxmlformats.org/spreadsheetml/2006/main">
  <c r="G120" i="4" l="1"/>
  <c r="H127" i="4"/>
  <c r="G127" i="4"/>
  <c r="H204" i="4" l="1"/>
  <c r="G204" i="4"/>
  <c r="H203" i="4"/>
  <c r="G203" i="4"/>
  <c r="H202" i="4"/>
  <c r="G202" i="4"/>
  <c r="H201" i="4"/>
  <c r="G201" i="4"/>
  <c r="H200" i="4"/>
  <c r="G200" i="4"/>
  <c r="H199" i="4"/>
  <c r="G199" i="4"/>
  <c r="H198" i="4"/>
  <c r="G198" i="4"/>
  <c r="H197" i="4"/>
  <c r="G197" i="4"/>
  <c r="H196" i="4"/>
  <c r="G196" i="4"/>
  <c r="H195" i="4"/>
  <c r="G195" i="4"/>
  <c r="H194" i="4"/>
  <c r="G194" i="4"/>
  <c r="H193" i="4"/>
  <c r="G193" i="4"/>
  <c r="H192" i="4"/>
  <c r="G192" i="4"/>
  <c r="H191" i="4"/>
  <c r="G191" i="4"/>
  <c r="H190" i="4"/>
  <c r="G190" i="4"/>
  <c r="H189" i="4"/>
  <c r="G189" i="4"/>
  <c r="H188" i="4"/>
  <c r="G188" i="4"/>
  <c r="H187" i="4"/>
  <c r="G187" i="4"/>
  <c r="H186" i="4"/>
  <c r="G186" i="4"/>
  <c r="H185" i="4"/>
  <c r="G185" i="4"/>
  <c r="H184" i="4"/>
  <c r="G184" i="4"/>
  <c r="H183" i="4"/>
  <c r="G183" i="4"/>
  <c r="H182" i="4"/>
  <c r="G182" i="4"/>
  <c r="H181" i="4"/>
  <c r="G181" i="4"/>
  <c r="H180" i="4"/>
  <c r="G180" i="4"/>
  <c r="H179" i="4"/>
  <c r="G179" i="4"/>
  <c r="H178" i="4"/>
  <c r="G178" i="4"/>
  <c r="H177" i="4"/>
  <c r="G177" i="4"/>
  <c r="H176" i="4"/>
  <c r="G176" i="4"/>
  <c r="H175" i="4"/>
  <c r="G175" i="4"/>
  <c r="H174" i="4"/>
  <c r="G174" i="4"/>
  <c r="H173" i="4"/>
  <c r="G173" i="4"/>
  <c r="H172" i="4"/>
  <c r="G172" i="4"/>
  <c r="H171" i="4"/>
  <c r="G171" i="4"/>
  <c r="H170" i="4"/>
  <c r="G170" i="4"/>
  <c r="H169" i="4"/>
  <c r="G169" i="4"/>
  <c r="H168" i="4"/>
  <c r="G168" i="4"/>
  <c r="H167" i="4"/>
  <c r="G167" i="4"/>
  <c r="H166" i="4"/>
  <c r="G166" i="4"/>
  <c r="H165" i="4"/>
  <c r="G165" i="4"/>
  <c r="H164" i="4"/>
  <c r="G164" i="4"/>
  <c r="H163" i="4"/>
  <c r="G163" i="4"/>
  <c r="H162" i="4"/>
  <c r="G162" i="4"/>
  <c r="H161" i="4"/>
  <c r="G161" i="4"/>
  <c r="H160" i="4"/>
  <c r="G160" i="4"/>
  <c r="H159" i="4"/>
  <c r="G159" i="4"/>
  <c r="H158" i="4"/>
  <c r="G158" i="4" l="1"/>
  <c r="H157" i="4"/>
  <c r="G157" i="4"/>
  <c r="H156" i="4"/>
  <c r="G156" i="4"/>
  <c r="H155" i="4"/>
  <c r="G155" i="4"/>
  <c r="H154" i="4"/>
  <c r="G154" i="4"/>
  <c r="H153" i="4"/>
  <c r="G153" i="4"/>
  <c r="H152" i="4"/>
  <c r="G152" i="4"/>
  <c r="H151" i="4"/>
  <c r="G151" i="4"/>
  <c r="H150" i="4"/>
  <c r="G150" i="4"/>
  <c r="H149" i="4"/>
  <c r="G149" i="4"/>
  <c r="H148" i="4"/>
  <c r="G148" i="4"/>
  <c r="H147" i="4"/>
  <c r="G147" i="4"/>
  <c r="H146" i="4"/>
  <c r="G146" i="4"/>
  <c r="H145" i="4"/>
  <c r="G145" i="4"/>
  <c r="H144" i="4"/>
  <c r="G144" i="4"/>
  <c r="H143" i="4"/>
  <c r="G143" i="4"/>
  <c r="G140" i="4"/>
  <c r="H140" i="4" l="1"/>
  <c r="H139" i="4"/>
  <c r="G139" i="4"/>
  <c r="H138" i="4"/>
  <c r="G138" i="4"/>
  <c r="H137" i="4"/>
  <c r="G137" i="4"/>
  <c r="H136" i="4"/>
  <c r="G136" i="4"/>
  <c r="H135" i="4"/>
  <c r="G135" i="4"/>
  <c r="H133" i="4"/>
  <c r="G133" i="4"/>
  <c r="H132" i="4"/>
  <c r="G132" i="4"/>
  <c r="H131" i="4"/>
  <c r="G131" i="4"/>
  <c r="H130" i="4"/>
  <c r="G130" i="4"/>
  <c r="H129" i="4"/>
  <c r="G129" i="4"/>
  <c r="H128" i="4"/>
  <c r="G128" i="4"/>
  <c r="H126" i="4"/>
  <c r="G126" i="4"/>
  <c r="H125" i="4"/>
  <c r="G125" i="4"/>
  <c r="H124" i="4"/>
  <c r="G124" i="4"/>
  <c r="H122" i="4"/>
  <c r="G122" i="4"/>
  <c r="H121" i="4"/>
  <c r="G121" i="4"/>
  <c r="H120" i="4"/>
  <c r="H119" i="4"/>
  <c r="G119" i="4"/>
  <c r="H118" i="4"/>
  <c r="G118" i="4"/>
  <c r="H116" i="4"/>
  <c r="G116" i="4"/>
  <c r="H115" i="4"/>
  <c r="G115" i="4"/>
  <c r="H113" i="4"/>
  <c r="G113" i="4"/>
  <c r="H112" i="4"/>
  <c r="G112" i="4"/>
  <c r="G107" i="4"/>
  <c r="H107" i="4" l="1"/>
  <c r="H106" i="4"/>
  <c r="G106" i="4"/>
  <c r="G101" i="4"/>
  <c r="H101" i="4"/>
  <c r="H100" i="4"/>
  <c r="G100" i="4"/>
  <c r="H99" i="4"/>
  <c r="G99" i="4"/>
  <c r="H98" i="4"/>
  <c r="G98" i="4"/>
  <c r="H97" i="4"/>
  <c r="G97" i="4"/>
  <c r="H96" i="4"/>
  <c r="G96" i="4"/>
  <c r="H95" i="4" l="1"/>
  <c r="G95" i="4"/>
  <c r="H94" i="4"/>
  <c r="G94" i="4"/>
  <c r="H93" i="4"/>
  <c r="G93" i="4"/>
  <c r="H92" i="4"/>
  <c r="G92" i="4"/>
  <c r="H91" i="4"/>
  <c r="G91" i="4"/>
  <c r="H90" i="4"/>
  <c r="G90" i="4"/>
  <c r="H89" i="4"/>
  <c r="G89" i="4"/>
  <c r="H88" i="4"/>
  <c r="G88" i="4"/>
  <c r="H87" i="4"/>
  <c r="G87" i="4"/>
  <c r="H86" i="4"/>
  <c r="G86" i="4"/>
  <c r="H85" i="4"/>
  <c r="G85" i="4"/>
  <c r="H84" i="4"/>
  <c r="G84" i="4"/>
  <c r="H83" i="4"/>
  <c r="G83" i="4"/>
  <c r="H82" i="4"/>
  <c r="G82" i="4"/>
  <c r="H81" i="4"/>
  <c r="G81" i="4"/>
  <c r="H79" i="4"/>
  <c r="G79" i="4"/>
  <c r="H78" i="4"/>
  <c r="G78" i="4"/>
  <c r="H77" i="4"/>
  <c r="G77" i="4"/>
  <c r="H74" i="4"/>
  <c r="G74" i="4"/>
  <c r="H73" i="4"/>
  <c r="G73" i="4"/>
  <c r="G68" i="4"/>
  <c r="H68" i="4"/>
  <c r="H67" i="4"/>
  <c r="G67" i="4"/>
  <c r="H66" i="4"/>
  <c r="G66" i="4"/>
  <c r="H65" i="4"/>
  <c r="G65" i="4"/>
  <c r="H63" i="4"/>
  <c r="G63" i="4"/>
  <c r="H62" i="4"/>
  <c r="G62" i="4"/>
  <c r="H61" i="4"/>
  <c r="G61" i="4"/>
  <c r="H60" i="4"/>
  <c r="G60" i="4"/>
  <c r="F56" i="4"/>
  <c r="H56" i="4"/>
  <c r="G56" i="4"/>
  <c r="H55" i="4"/>
  <c r="G55" i="4"/>
  <c r="F55" i="4"/>
  <c r="H54" i="4"/>
  <c r="G54" i="4"/>
  <c r="F54" i="4"/>
  <c r="H53" i="4"/>
  <c r="G53" i="4"/>
  <c r="F53" i="4"/>
  <c r="H52" i="4"/>
  <c r="G52" i="4"/>
  <c r="F52" i="4"/>
  <c r="H51" i="4"/>
  <c r="G51" i="4"/>
  <c r="F51" i="4"/>
  <c r="H50" i="4"/>
  <c r="G50" i="4"/>
  <c r="F50" i="4"/>
  <c r="H49" i="4"/>
  <c r="G49" i="4"/>
  <c r="F49" i="4"/>
  <c r="F47" i="4"/>
  <c r="H47" i="4"/>
  <c r="G47" i="4"/>
  <c r="H46" i="4"/>
  <c r="G46" i="4"/>
  <c r="F46" i="4"/>
  <c r="H45" i="4"/>
  <c r="G45" i="4"/>
  <c r="F45" i="4"/>
  <c r="H44" i="4"/>
  <c r="G44" i="4"/>
  <c r="F44" i="4"/>
  <c r="H43" i="4"/>
  <c r="G43" i="4"/>
  <c r="F43" i="4"/>
  <c r="H42" i="4"/>
  <c r="G42" i="4"/>
  <c r="F42" i="4"/>
  <c r="H41" i="4"/>
  <c r="G41" i="4"/>
  <c r="F41" i="4"/>
  <c r="H40" i="4"/>
  <c r="G40" i="4"/>
  <c r="F40" i="4"/>
  <c r="G37" i="4"/>
  <c r="H37" i="4"/>
  <c r="H36" i="4"/>
  <c r="G36" i="4"/>
  <c r="H35" i="4"/>
  <c r="G35" i="4"/>
  <c r="F32" i="4"/>
  <c r="H32" i="4"/>
  <c r="G32" i="4"/>
  <c r="H31" i="4"/>
  <c r="G31" i="4"/>
  <c r="F31" i="4"/>
  <c r="H30" i="4"/>
  <c r="G30" i="4"/>
  <c r="F30" i="4"/>
  <c r="H29" i="4"/>
  <c r="G29" i="4"/>
  <c r="F29" i="4"/>
  <c r="H28" i="4"/>
  <c r="G28" i="4"/>
  <c r="F28" i="4"/>
  <c r="H27" i="4"/>
  <c r="G27" i="4"/>
  <c r="F27" i="4"/>
  <c r="H26" i="4"/>
  <c r="G26" i="4"/>
  <c r="F26" i="4"/>
  <c r="H25" i="4"/>
  <c r="G25" i="4"/>
  <c r="F25" i="4"/>
  <c r="F23" i="4"/>
  <c r="H23" i="4"/>
  <c r="G23" i="4"/>
  <c r="H22" i="4"/>
  <c r="G22" i="4"/>
  <c r="F22" i="4"/>
  <c r="H21" i="4"/>
  <c r="G21" i="4"/>
  <c r="F21" i="4"/>
  <c r="H20" i="4"/>
  <c r="G20" i="4"/>
  <c r="F20" i="4"/>
  <c r="H19" i="4"/>
  <c r="G19" i="4"/>
  <c r="F19" i="4"/>
  <c r="H18" i="4"/>
  <c r="G18" i="4"/>
  <c r="F18" i="4"/>
  <c r="H17" i="4"/>
  <c r="G17" i="4"/>
  <c r="F17" i="4"/>
  <c r="H16" i="4"/>
  <c r="G16" i="4"/>
  <c r="F16" i="4"/>
  <c r="K27" i="5" l="1"/>
  <c r="K34" i="5"/>
  <c r="K24" i="5"/>
  <c r="K25" i="5"/>
  <c r="K26" i="5"/>
  <c r="K28" i="5"/>
  <c r="K36" i="5"/>
  <c r="I31" i="5"/>
  <c r="K32" i="5"/>
  <c r="L90" i="5"/>
  <c r="K29" i="5"/>
  <c r="K30" i="5"/>
  <c r="J19" i="5" l="1"/>
  <c r="H17" i="5"/>
  <c r="H19" i="5"/>
  <c r="F17" i="5"/>
  <c r="F18" i="5"/>
  <c r="F19" i="5"/>
  <c r="S15" i="5"/>
  <c r="S14" i="5"/>
  <c r="S11" i="5"/>
  <c r="Q15" i="5"/>
  <c r="Q14" i="5"/>
  <c r="Q11" i="5"/>
  <c r="L11" i="5"/>
  <c r="H12" i="5"/>
  <c r="H15" i="5"/>
  <c r="H14" i="5"/>
  <c r="J15" i="5"/>
  <c r="J14" i="5"/>
  <c r="J12" i="5"/>
  <c r="J11" i="5"/>
  <c r="J10" i="5"/>
  <c r="F15" i="5"/>
  <c r="F14" i="5"/>
  <c r="F11" i="5"/>
  <c r="I25" i="5"/>
  <c r="E25" i="5"/>
</calcChain>
</file>

<file path=xl/sharedStrings.xml><?xml version="1.0" encoding="utf-8"?>
<sst xmlns="http://schemas.openxmlformats.org/spreadsheetml/2006/main" count="618" uniqueCount="446">
  <si>
    <t>Наименование Работ</t>
  </si>
  <si>
    <t>Единица измерения</t>
  </si>
  <si>
    <t>Состав работ</t>
  </si>
  <si>
    <t>Стоимость строительства (с учетом ПИР) единицы измерения без НДС, руб.</t>
  </si>
  <si>
    <t>1 порт</t>
  </si>
  <si>
    <t>1 метр</t>
  </si>
  <si>
    <t>1 км трассы</t>
  </si>
  <si>
    <t>1 колодец</t>
  </si>
  <si>
    <t>1 комплект</t>
  </si>
  <si>
    <t>1 колодец в комплекте</t>
  </si>
  <si>
    <t>шт.</t>
  </si>
  <si>
    <t>1 метр проекции перехода</t>
  </si>
  <si>
    <t xml:space="preserve">Д=63мм </t>
  </si>
  <si>
    <t>Д=110мм</t>
  </si>
  <si>
    <t>Восстановление покрытий</t>
  </si>
  <si>
    <t>Восстановление газонов</t>
  </si>
  <si>
    <t>1м2</t>
  </si>
  <si>
    <t>1 метр прокола</t>
  </si>
  <si>
    <t>1м</t>
  </si>
  <si>
    <t>1 м</t>
  </si>
  <si>
    <t>1 шт.</t>
  </si>
  <si>
    <t xml:space="preserve">1 шкаф </t>
  </si>
  <si>
    <t>1 шкаф</t>
  </si>
  <si>
    <t xml:space="preserve">Настоящие удельные стоимости учитывают полный комплекс строительно-монтажных, специальных строительных работ, прочих затрат, включая стоимость материальных ресурсов, различных согласований, ПИР, необходимых для строительства. </t>
  </si>
  <si>
    <t>Настоящие удельные стоимости предназначены для формирования бюджета и начальной цены конкурса. Настоящие удельные стоимости являются максимальными и могут быть изменены в сторону уменьшения.</t>
  </si>
  <si>
    <t>Стоимость ГНБ тремя и более трубами рассчитывать, добавляя на каждую последующую трубу разницу в стоимости переходов двумя и одной трубой.</t>
  </si>
  <si>
    <t>метр RG</t>
  </si>
  <si>
    <t>точка подключения</t>
  </si>
  <si>
    <t>Стоимость работ</t>
  </si>
  <si>
    <t>без учета оборудования (в том числе без учета стоимости абонентских розеток для FTTB+IP СПВ)</t>
  </si>
  <si>
    <t>с учетом оборудования (только для FTTB)</t>
  </si>
  <si>
    <t>Монтаж телекоммуникационного шкафа, стойки на станционной или линейной стороне</t>
  </si>
  <si>
    <t>Монтаж контейнера "под ключ".</t>
  </si>
  <si>
    <t>Монтаж климатического телекоммуникационного шкафа (термошкафа)</t>
  </si>
  <si>
    <t>Землеотвод под сооружение</t>
  </si>
  <si>
    <t>1 колодец в комплекте (нестандарт.)</t>
  </si>
  <si>
    <t xml:space="preserve">**- в состав ПИР входят: разработка проектной и рабочей документации;получение ТУ на прокладку ВОК;получение и оплата всех необходимых согласований, разрешений и проектных решений с собственниками зданий, и сооружений, ;получение всех необходимых разрешений, согласований, ТУ, и экспертиз в соответствие с нормами РФ, прав доступа в телефонную канализацию (в том числе на имя Заказчика); проведение инженерных изысканий, предпроектных обследований;авторский надзор; согласование вывода волоконно-оптического кабеля на существующие опоры; проведение топографо-геодезической съемки (топосъемки) с корректировкой;разработка и согласование Проекта производства работ (ППР) со всеми заинтересованными организациями и службами.
</t>
  </si>
  <si>
    <t>1 щит</t>
  </si>
  <si>
    <t>где,</t>
  </si>
  <si>
    <t>1 узел</t>
  </si>
  <si>
    <t>1 коммутатор</t>
  </si>
  <si>
    <t>1 км трассы магистрали</t>
  </si>
  <si>
    <t>1 опт. волокно</t>
  </si>
  <si>
    <t>1 патчкорд</t>
  </si>
  <si>
    <t>кан-км</t>
  </si>
  <si>
    <t>м</t>
  </si>
  <si>
    <t>Монтаж телекоммуникационного  шкафа , телекоммуникационной стойки емкостью:</t>
  </si>
  <si>
    <t>комплект</t>
  </si>
  <si>
    <t xml:space="preserve">Доумощнение ДРС в процессе строительства - прокладка и монтаж многопарного передаточного кабеля "витая пара" кат. 5е  </t>
  </si>
  <si>
    <t>Количество метров ВОК,превышающее 500 м на дом в кластере ШПД,определяется как разница между суммой длин всех ВОК на данной оптической магистрали  и произведением количества подключаемых домов на регламентированную длину в 500 м.</t>
  </si>
  <si>
    <t>Внимание! См. Примечание внизу таблицы</t>
  </si>
  <si>
    <t>ККС-5 ( все типы,конфигурации и разновидности)</t>
  </si>
  <si>
    <t>ККС-4 ( все типы,конфигурации и разновидности)</t>
  </si>
  <si>
    <t>ККС-3 ( все типы,конфигурации и разновидности)</t>
  </si>
  <si>
    <t>ККС-2 ( все типы,конфигурации и разновидности)</t>
  </si>
  <si>
    <t>100.6</t>
  </si>
  <si>
    <t xml:space="preserve"> 100.7</t>
  </si>
  <si>
    <t xml:space="preserve"> 100.9</t>
  </si>
  <si>
    <t xml:space="preserve"> 100.10</t>
  </si>
  <si>
    <t xml:space="preserve"> 101.6</t>
  </si>
  <si>
    <t>101.7</t>
  </si>
  <si>
    <t xml:space="preserve"> 101.9</t>
  </si>
  <si>
    <t xml:space="preserve"> 101.10</t>
  </si>
  <si>
    <t xml:space="preserve"> 102.1</t>
  </si>
  <si>
    <t xml:space="preserve"> 102.2</t>
  </si>
  <si>
    <t>403.1</t>
  </si>
  <si>
    <t>403.2</t>
  </si>
  <si>
    <t>700.1</t>
  </si>
  <si>
    <t>700.2</t>
  </si>
  <si>
    <t xml:space="preserve"> 900.1</t>
  </si>
  <si>
    <t>900.2</t>
  </si>
  <si>
    <t>901.1</t>
  </si>
  <si>
    <t>903.2</t>
  </si>
  <si>
    <t xml:space="preserve"> 901.2</t>
  </si>
  <si>
    <t xml:space="preserve"> 902.1</t>
  </si>
  <si>
    <t>902.2</t>
  </si>
  <si>
    <t>902.3</t>
  </si>
  <si>
    <t>902.4</t>
  </si>
  <si>
    <t>902.5</t>
  </si>
  <si>
    <t>903.1</t>
  </si>
  <si>
    <t>в том числе ПИР**</t>
  </si>
  <si>
    <t>*** Стоимость переходов при реализации всех проектов  учтена в составе стоимости кабельной канализации ( в случае её строительства).Данные расценки применяются в  случае выполнения кабельных переходов ГНБ при прокладке кабеля в грунт в процессе реализации всех проектов или при строительстве отдельных переходов или вводов.</t>
  </si>
  <si>
    <t>ПИР, СМР:  сварка одного волокна (точка сварки), все виды измерений, тестирований, паспортизация (не ограничиваясь перечисленным: в электронном виде, Excel-формат для рефлектограмм, протоколы, схемы разварки); монтаж/перемонтаж муфты/кросса для переварки волокон, включая стоимость основных и расходных материалов, в том числе для герметизации муфты (при необходимости); стоимость переездов из точки измерений 1 (откуда ведется измерение) в точку измерений 2 (где находится источник), другие транспортные и все прочие расходы,;получение и оплата всех необходимых разрешений, согласований на право доступа и проведения работ, исполнительная документация по МР и РД</t>
  </si>
  <si>
    <t>904.1</t>
  </si>
  <si>
    <t>905</t>
  </si>
  <si>
    <t>908.1</t>
  </si>
  <si>
    <t xml:space="preserve"> 909.1</t>
  </si>
  <si>
    <t>909.2</t>
  </si>
  <si>
    <t xml:space="preserve"> 909.3</t>
  </si>
  <si>
    <t>909.4</t>
  </si>
  <si>
    <t>Установка (монтаж) кронштейнов для муфт с декоративными футлярами, кожухами, коробами для размещения запасов кабелей, муфт и оконечных устройств на опорах,зданиях и конструкциях</t>
  </si>
  <si>
    <t xml:space="preserve">Раздел 9. Удельные расценки на виды работ для строительства ЛКСС для объектов связи                                                                                                                                                                                                                                                                                                                                  </t>
  </si>
  <si>
    <t xml:space="preserve">Раздел 1. Удельные расценки на виды работ для строительства FTTB </t>
  </si>
  <si>
    <t>Раздел 2. Удельные расценки на виды работ для строительства объектов  PON (GPON)</t>
  </si>
  <si>
    <t>Раздел 7.  Удельные расценки для строительства объектов КТВ на существующих сетях FTTB, FTTx</t>
  </si>
  <si>
    <t>ПИР;СМР и услуги (включая стоимость  всех материалов и конструкций,согласование размещения конструкций с владельцами опор), в т.ч. декоративное покрытие футляра (короба,кожуха),а именно: покраска, нанесение логотипа и рекламной информации Заказчика промышленным способом.</t>
  </si>
  <si>
    <t>канализация</t>
  </si>
  <si>
    <t>грунт</t>
  </si>
  <si>
    <t>подвес 8</t>
  </si>
  <si>
    <t>подвес самонес</t>
  </si>
  <si>
    <t>негорючий</t>
  </si>
  <si>
    <t>коэфф.</t>
  </si>
  <si>
    <t>шкос</t>
  </si>
  <si>
    <t>ввести Ксн:</t>
  </si>
  <si>
    <t>Установка колодца ККС -1 БИС* (полный комплекс работ) - *половина ККС-2 (3) на бетонном основании, люк из чугуна с нижней крышкой, шарнирной верхней крышкой и запорным устройством</t>
  </si>
  <si>
    <r>
      <rPr>
        <sz val="10"/>
        <color rgb="FFFF0000"/>
        <rFont val="Consolas"/>
        <family val="3"/>
        <charset val="204"/>
      </rPr>
      <t>Стоимость воздушного ввода в здание отдельно не рассчитывается - учтена стоимостью прокладки кабеля.</t>
    </r>
    <r>
      <rPr>
        <sz val="10"/>
        <color theme="1" tint="4.9989318521683403E-2"/>
        <rFont val="Consolas"/>
        <family val="3"/>
        <charset val="204"/>
      </rPr>
      <t>Стоимость воздушного ввода в здание отдельно не рассчитывается - учтена стоимостью прокладки кабеля.Для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r>
  </si>
  <si>
    <r>
      <t xml:space="preserve"> *</t>
    </r>
    <r>
      <rPr>
        <sz val="10"/>
        <color theme="1" tint="4.9989318521683403E-2"/>
        <rFont val="Consolas"/>
        <family val="3"/>
        <charset val="204"/>
      </rPr>
      <t xml:space="preserve"> - при формировании стоимости Заказа  использовать одну величину удельной стоимости строительства в зависимости от средневзвешенного значения % проникновения по Адресной программе Заказа. При возможных изменениях Адресной программы в процессе строительства величина удельной стоимости остается неизменной, установленной при формировании Заказа.</t>
    </r>
  </si>
  <si>
    <r>
      <t xml:space="preserve">Стоимость строительства кабельной канализации из полиэтиленовых труб рассчитана для труб </t>
    </r>
    <r>
      <rPr>
        <sz val="10"/>
        <color rgb="FFFF0000"/>
        <rFont val="Consolas"/>
        <family val="3"/>
        <charset val="204"/>
      </rPr>
      <t>Д=110мм</t>
    </r>
    <r>
      <rPr>
        <sz val="10"/>
        <color theme="1" tint="4.9989318521683403E-2"/>
        <rFont val="Consolas"/>
        <family val="3"/>
        <charset val="204"/>
      </rPr>
      <t xml:space="preserve">. В случае строительства кабельной канализации с применением труб </t>
    </r>
    <r>
      <rPr>
        <sz val="10"/>
        <color rgb="FFFF0000"/>
        <rFont val="Consolas"/>
        <family val="3"/>
        <charset val="204"/>
      </rPr>
      <t>Д=63мм</t>
    </r>
    <r>
      <rPr>
        <sz val="10"/>
        <color theme="1" tint="4.9989318521683403E-2"/>
        <rFont val="Consolas"/>
        <family val="3"/>
        <charset val="204"/>
      </rPr>
      <t xml:space="preserve">  применять понижающие коэффициенты: к расценке 905 </t>
    </r>
    <r>
      <rPr>
        <sz val="10"/>
        <color rgb="FFFF0000"/>
        <rFont val="Consolas"/>
        <family val="3"/>
        <charset val="204"/>
      </rPr>
      <t>к= 0,94</t>
    </r>
  </si>
  <si>
    <r>
      <t xml:space="preserve">В разделе 1 состав работ по прокладке ВОЛС </t>
    </r>
    <r>
      <rPr>
        <b/>
        <sz val="10"/>
        <color rgb="FFFF0000"/>
        <rFont val="Consolas"/>
        <family val="3"/>
        <charset val="204"/>
      </rPr>
      <t>до 500 м</t>
    </r>
    <r>
      <rPr>
        <sz val="10"/>
        <color theme="1"/>
        <rFont val="Consolas"/>
        <family val="3"/>
        <charset val="204"/>
      </rPr>
      <t xml:space="preserve"> ,включеного в  расценки </t>
    </r>
    <r>
      <rPr>
        <b/>
        <sz val="10"/>
        <color rgb="FFFF0000"/>
        <rFont val="Consolas"/>
        <family val="3"/>
        <charset val="204"/>
      </rPr>
      <t>с №№ 100.1 до 101.10</t>
    </r>
    <r>
      <rPr>
        <sz val="10"/>
        <color theme="1"/>
        <rFont val="Consolas"/>
        <family val="3"/>
        <charset val="204"/>
      </rPr>
      <t>, соответствует составу работ по прокладке ВОК</t>
    </r>
    <r>
      <rPr>
        <b/>
        <sz val="10"/>
        <color theme="1"/>
        <rFont val="Consolas"/>
        <family val="3"/>
        <charset val="204"/>
      </rPr>
      <t xml:space="preserve"> свыше 500 м</t>
    </r>
    <r>
      <rPr>
        <sz val="10"/>
        <color theme="1"/>
        <rFont val="Consolas"/>
        <family val="3"/>
        <charset val="204"/>
      </rPr>
      <t xml:space="preserve">.в расценке </t>
    </r>
    <r>
      <rPr>
        <b/>
        <sz val="10"/>
        <color rgb="FFFF0000"/>
        <rFont val="Consolas"/>
        <family val="3"/>
        <charset val="204"/>
      </rPr>
      <t xml:space="preserve">№ 103 </t>
    </r>
    <r>
      <rPr>
        <sz val="10"/>
        <color theme="1"/>
        <rFont val="Consolas"/>
        <family val="3"/>
        <charset val="204"/>
      </rPr>
      <t>и учтен стоимостью 1 порта или 1 д/х в соотвествущей позиции.</t>
    </r>
  </si>
  <si>
    <t>403.3</t>
  </si>
  <si>
    <t>Комплект           1 контейнер</t>
  </si>
  <si>
    <r>
      <t xml:space="preserve">Указанный в настоящих расценках параметр </t>
    </r>
    <r>
      <rPr>
        <b/>
        <sz val="10"/>
        <color rgb="FFFF0000"/>
        <rFont val="Consolas"/>
        <family val="3"/>
        <charset val="204"/>
      </rPr>
      <t>"до"</t>
    </r>
    <r>
      <rPr>
        <sz val="10"/>
        <rFont val="Consolas"/>
        <family val="3"/>
        <charset val="204"/>
      </rPr>
      <t xml:space="preserve"> включает в себя этот размер / количество.Параметр </t>
    </r>
    <r>
      <rPr>
        <b/>
        <sz val="10"/>
        <color rgb="FFFF0000"/>
        <rFont val="Consolas"/>
        <family val="3"/>
        <charset val="204"/>
      </rPr>
      <t>"от"</t>
    </r>
    <r>
      <rPr>
        <b/>
        <sz val="10"/>
        <rFont val="Consolas"/>
        <family val="3"/>
        <charset val="204"/>
      </rPr>
      <t xml:space="preserve"> </t>
    </r>
    <r>
      <rPr>
        <sz val="10"/>
        <rFont val="Consolas"/>
        <family val="3"/>
        <charset val="204"/>
      </rPr>
      <t>не включает указанный размер/количество</t>
    </r>
  </si>
  <si>
    <t>ᴕ</t>
  </si>
  <si>
    <r>
      <rPr>
        <sz val="10"/>
        <color theme="4" tint="-0.249977111117893"/>
        <rFont val="Consolas"/>
        <family val="3"/>
        <charset val="204"/>
      </rPr>
      <t>Lопр.</t>
    </r>
    <r>
      <rPr>
        <sz val="10"/>
        <color theme="1"/>
        <rFont val="Consolas"/>
        <family val="3"/>
        <charset val="204"/>
      </rPr>
      <t xml:space="preserve">- длина кабеля ВОК в метрах, превышающая параметр "до 500 м. в кластере ШПД" и не учтенная стоимостью удельной расценки за порт FTTB  ( по удельной расценке </t>
    </r>
    <r>
      <rPr>
        <sz val="10"/>
        <color rgb="FFFF0000"/>
        <rFont val="Consolas"/>
        <family val="3"/>
        <charset val="204"/>
      </rPr>
      <t>№ 103</t>
    </r>
    <r>
      <rPr>
        <sz val="10"/>
        <color theme="1"/>
        <rFont val="Consolas"/>
        <family val="3"/>
        <charset val="204"/>
      </rPr>
      <t>)</t>
    </r>
  </si>
  <si>
    <r>
      <rPr>
        <sz val="10"/>
        <color theme="4" tint="-0.249977111117893"/>
        <rFont val="Consolas"/>
        <family val="3"/>
        <charset val="204"/>
      </rPr>
      <t>Lk</t>
    </r>
    <r>
      <rPr>
        <sz val="10"/>
        <color theme="1"/>
        <rFont val="Consolas"/>
        <family val="3"/>
        <charset val="204"/>
      </rPr>
      <t>- длина кабеля на к-ый дом от распределительной муфты основного (опорного) ствола опт. магистрали до ТШ в доме, включая переходы между ТШ,в метрах</t>
    </r>
  </si>
  <si>
    <r>
      <rPr>
        <sz val="10"/>
        <color theme="4" tint="-0.249977111117893"/>
        <rFont val="Consolas"/>
        <family val="3"/>
        <charset val="204"/>
      </rPr>
      <t>Lосн.</t>
    </r>
    <r>
      <rPr>
        <sz val="10"/>
        <color theme="1"/>
        <rFont val="Consolas"/>
        <family val="3"/>
        <charset val="204"/>
      </rPr>
      <t>- длина основного (опорного) ствола опт. магистрали от точки подключения ( кросс УА, муфта сущ. ВОК и пр.) до разветвительной муфты в метрах</t>
    </r>
  </si>
  <si>
    <r>
      <rPr>
        <sz val="10"/>
        <color theme="4" tint="-0.249977111117893"/>
        <rFont val="Consolas"/>
        <family val="3"/>
        <charset val="204"/>
      </rPr>
      <t>n</t>
    </r>
    <r>
      <rPr>
        <sz val="10"/>
        <color theme="1"/>
        <rFont val="Consolas"/>
        <family val="3"/>
        <charset val="204"/>
      </rPr>
      <t>- количество домов, подключаемых с данной опт. магистрали</t>
    </r>
  </si>
  <si>
    <t>Прокладка металлорукава</t>
  </si>
  <si>
    <t xml:space="preserve">2.3. Строительство сетей PON в МКД </t>
  </si>
  <si>
    <t>208.1</t>
  </si>
  <si>
    <t>208.2</t>
  </si>
  <si>
    <t>209.1</t>
  </si>
  <si>
    <t>209.2</t>
  </si>
  <si>
    <t>порт 1-го каскада</t>
  </si>
  <si>
    <t>порт 2-го каскада</t>
  </si>
  <si>
    <t>Монтаж оборудования ГО и ЧС</t>
  </si>
  <si>
    <t>В случаях превышения смонтированной портовой ёмкости над количеством охватываемых домохозяйств в доме расчёт за выполненные работы производится по количеству домохозяйств.</t>
  </si>
  <si>
    <t>407.1</t>
  </si>
  <si>
    <t>подъезд</t>
  </si>
  <si>
    <t>один шлагбаум</t>
  </si>
  <si>
    <t>Организация БС телеметрии</t>
  </si>
  <si>
    <t>одна БС</t>
  </si>
  <si>
    <t>401.1</t>
  </si>
  <si>
    <t>ПНР на систему домофонии</t>
  </si>
  <si>
    <t>Прокладка распределительного радиофидера</t>
  </si>
  <si>
    <t>Установка ТАМУ (Трансформатор абонентский унифицированный)</t>
  </si>
  <si>
    <t>Монтаж электросчетчика с  радиомодулем</t>
  </si>
  <si>
    <t>Монтаж модуля сопряжения  (LORA)</t>
  </si>
  <si>
    <t>1 дх</t>
  </si>
  <si>
    <t>СМР:Программирование ключей (до 3-х ключей), программирование системы домофонии</t>
  </si>
  <si>
    <t>Выполнение комплекса инсталляционных  работ по домофонии</t>
  </si>
  <si>
    <t>Монтаж автоматизированного рабочего места (АРМ)</t>
  </si>
  <si>
    <t>Обновление программного обеспечения коммутатора/голосового шлюза</t>
  </si>
  <si>
    <t>1.1. Строительство сетей FTTB cтандартная застройка и новостройки</t>
  </si>
  <si>
    <r>
      <t xml:space="preserve">1.3.Строительство сетей FTTB </t>
    </r>
    <r>
      <rPr>
        <b/>
        <sz val="12"/>
        <color rgb="FFFF0000"/>
        <rFont val="Consolas"/>
        <family val="3"/>
        <charset val="204"/>
      </rPr>
      <t>1 GE</t>
    </r>
    <r>
      <rPr>
        <b/>
        <sz val="12"/>
        <color theme="1"/>
        <rFont val="Consolas"/>
        <family val="3"/>
        <charset val="204"/>
      </rPr>
      <t xml:space="preserve"> стандартная застройка и новостройки</t>
    </r>
  </si>
  <si>
    <t>Удельная стоимость Работ без учёта ВОК на магистральном участке, 
руб. без НДС</t>
  </si>
  <si>
    <r>
      <t>GPON - стандартное строительство в домах</t>
    </r>
    <r>
      <rPr>
        <b/>
        <sz val="9"/>
        <color theme="1" tint="4.9989318521683403E-2"/>
        <rFont val="Consolas"/>
        <family val="3"/>
        <charset val="204"/>
      </rPr>
      <t xml:space="preserve"> </t>
    </r>
    <r>
      <rPr>
        <b/>
        <sz val="9"/>
        <color rgb="FFFF0000"/>
        <rFont val="Consolas"/>
        <family val="3"/>
        <charset val="204"/>
      </rPr>
      <t>от 3-х этажей</t>
    </r>
    <r>
      <rPr>
        <sz val="9"/>
        <color theme="1" tint="4.9989318521683403E-2"/>
        <rFont val="Consolas"/>
        <family val="3"/>
        <charset val="204"/>
      </rPr>
      <t xml:space="preserve"> </t>
    </r>
    <r>
      <rPr>
        <b/>
        <sz val="9"/>
        <color rgb="FFFF0000"/>
        <rFont val="Consolas"/>
        <family val="3"/>
        <charset val="204"/>
      </rPr>
      <t>и выше</t>
    </r>
    <r>
      <rPr>
        <sz val="9"/>
        <color theme="1" tint="4.9989318521683403E-2"/>
        <rFont val="Consolas"/>
        <family val="3"/>
        <charset val="204"/>
      </rPr>
      <t xml:space="preserve"> (ДРС под 100%, стояки под 100%, ОРШ в каждом доме, ОРК через этаж, нормативная длина магистральных участков ВОЛС в кластере ШПД 500 м на один дом)</t>
    </r>
  </si>
  <si>
    <r>
      <t xml:space="preserve">GPON -  строительство в малоэтажных домах высотой </t>
    </r>
    <r>
      <rPr>
        <b/>
        <sz val="9"/>
        <color rgb="FFFF0000"/>
        <rFont val="Consolas"/>
        <family val="3"/>
        <charset val="204"/>
      </rPr>
      <t>до 3-х этажей и ниже</t>
    </r>
    <r>
      <rPr>
        <sz val="9"/>
        <color theme="1" tint="4.9989318521683403E-2"/>
        <rFont val="Consolas"/>
        <family val="3"/>
        <charset val="204"/>
      </rPr>
      <t xml:space="preserve">  (ОРК - одна на подъезд, ОРШ  на группу домов,  кабель от ОРШ до ОРК методом подвеса, нормативная длина магистральных участков ВОЛС в кластере ШПД  500 м на один дом)</t>
    </r>
  </si>
  <si>
    <r>
      <t xml:space="preserve">ПИР (включая предварительную рабочую документацию); полный комплекс СМР , включая СМР на установку ТШ, стоимость материалов,вспомогательного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по МР и РД, </t>
    </r>
    <r>
      <rPr>
        <sz val="9"/>
        <color rgb="FFFF0000"/>
        <rFont val="Consolas"/>
        <family val="3"/>
        <charset val="204"/>
      </rPr>
      <t>без учета стоимости коммутатора агрегации и  телекоммуникационного шкафа узла доступа (ТШ)</t>
    </r>
  </si>
  <si>
    <r>
      <t>ПИР (включая предварительную рабочую документацию); полный комплекс СМР , включая СМР на установку ТШ, стоимость материалов,вспомогательного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по МР и РД,</t>
    </r>
    <r>
      <rPr>
        <sz val="9"/>
        <color rgb="FFFF0000"/>
        <rFont val="Consolas"/>
        <family val="3"/>
        <charset val="204"/>
      </rPr>
      <t xml:space="preserve"> без учета стоимости коммутатора агрегации и  телекоммуникационного шкафа узла доступа (ТШ)</t>
    </r>
  </si>
  <si>
    <r>
      <t xml:space="preserve">ПИР (включая предварительную рабочую документацию); СМР FTTB  строительство в новостройках (ДРС до подъездов и установкой КБ/КЯ/ЯР, включая разделение по крыльям: количество определяется из расчета 100 % проникновения, </t>
    </r>
    <r>
      <rPr>
        <sz val="9"/>
        <color rgb="FFFF0000"/>
        <rFont val="Consolas"/>
        <family val="3"/>
        <charset val="204"/>
      </rPr>
      <t>трубостойки (стояки) не строятся</t>
    </r>
    <r>
      <rPr>
        <sz val="9"/>
        <color theme="1"/>
        <rFont val="Consolas"/>
        <family val="3"/>
        <charset val="204"/>
      </rPr>
      <t>, ,оконечивание кабеля (МПК и ВОК) с обеих сторон,  нормативная длина  магистральных участков ВОЛС</t>
    </r>
    <r>
      <rPr>
        <sz val="9"/>
        <color rgb="FFFF0000"/>
        <rFont val="Consolas"/>
        <family val="3"/>
        <charset val="204"/>
      </rPr>
      <t xml:space="preserve"> </t>
    </r>
    <r>
      <rPr>
        <b/>
        <sz val="9"/>
        <color rgb="FFFF0000"/>
        <rFont val="Consolas"/>
        <family val="3"/>
        <charset val="204"/>
      </rPr>
      <t>в кластере ШПД  до 500 м на один дом</t>
    </r>
  </si>
  <si>
    <r>
      <t>ПИР (включая предварительную рабочую документацию); СМР с учетом стоимости материалов( в том числе и для внутриобъектовых работ), с учетом технологических, монтажных запасов кабеля, перепадов по трассе по вертикали и горизонтали, включая восстановление кабельной канализации, промывку/чистку каналов, откачку воды,</t>
    </r>
    <r>
      <rPr>
        <sz val="9"/>
        <color rgb="FF0070C0"/>
        <rFont val="Consolas"/>
        <family val="3"/>
        <charset val="204"/>
      </rPr>
      <t>освобождение трассы прокладки кабеля от снега/мусора для доступа к кабельным колодцам</t>
    </r>
    <r>
      <rPr>
        <sz val="9"/>
        <color theme="1" tint="4.9989318521683403E-2"/>
        <rFont val="Consolas"/>
        <family val="3"/>
        <charset val="204"/>
      </rPr>
      <t>; установку консолей в колодцах  (при необходимости), герметизация каналов;оснащение/дооснащение опор необходимой арматурой;установку и перемонтаж муфт со сваркой волокон (включая стоимость муфт); герметизацию каналов; защита кабеля в опасных местах (места перехода через дороги, пересечение с инженерными сетями и т. д.);</t>
    </r>
    <r>
      <rPr>
        <sz val="9"/>
        <color rgb="FF0070C0"/>
        <rFont val="Consolas"/>
        <family val="3"/>
        <charset val="204"/>
      </rPr>
      <t>подрезку крон деревьев</t>
    </r>
    <r>
      <rPr>
        <sz val="9"/>
        <color theme="1" tint="4.9989318521683403E-2"/>
        <rFont val="Consolas"/>
        <family val="3"/>
        <charset val="204"/>
      </rPr>
      <t xml:space="preserve">, бирки, сигнальные (опозновательные) ленты;внутриобъектовые работы, </t>
    </r>
    <r>
      <rPr>
        <sz val="9"/>
        <color rgb="FFFF0000"/>
        <rFont val="Consolas"/>
        <family val="3"/>
        <charset val="204"/>
      </rPr>
      <t>включая стоимость материалов и конструкций</t>
    </r>
    <r>
      <rPr>
        <sz val="9"/>
        <color theme="1" tint="4.9989318521683403E-2"/>
        <rFont val="Consolas"/>
        <family val="3"/>
        <charset val="204"/>
      </rPr>
      <t xml:space="preserve">: монтаж кабельростов, кабельных каналов,стоек, оптических кроссов , оконечивание кабеля с двух сторон;проведение всех  измерений ВОК, включая входной контроль кабеля;земельное дело, топосъемка (заказ и оплата) для строительства, согласования (при строительстве),топосъемка исполнительная;сдача в надзорные органы, оформление охранных зон линий связи; постановка на кадастровый учёт; оформление разрешительных и согласующих документов; </t>
    </r>
    <r>
      <rPr>
        <sz val="9"/>
        <color rgb="FF0070C0"/>
        <rFont val="Consolas"/>
        <family val="3"/>
        <charset val="204"/>
      </rPr>
      <t>справки о выполнении ТУ от собственников инфраструктуры</t>
    </r>
    <r>
      <rPr>
        <sz val="9"/>
        <color theme="1" tint="4.9989318521683403E-2"/>
        <rFont val="Consolas"/>
        <family val="3"/>
        <charset val="204"/>
      </rPr>
      <t>; оформление комплекта исполнительной документации по МР и РД</t>
    </r>
  </si>
  <si>
    <r>
      <t xml:space="preserve">ПИР (включая предварительную рабочую документацию); полный комплекс СМР , включая СМР на установку ТШ; стоимость материалов,вспомогательного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по МР и РД, </t>
    </r>
    <r>
      <rPr>
        <b/>
        <sz val="9"/>
        <color rgb="FFFF0000"/>
        <rFont val="Consolas"/>
        <family val="3"/>
        <charset val="204"/>
      </rPr>
      <t>без учета стоимости коммутатора агрегации, коммутатора доступа и  телекоммуникационного шкафа узла доступа (ТШ)</t>
    </r>
  </si>
  <si>
    <r>
      <t xml:space="preserve">ПИР (включая предварительную рабочую документацию); СМР FTTB  строительство в новостройках (ДРС до подъездов и установкой КБ/КЯ/ЯР, включая разделение по крыльям: количество определяется из расчета 100 % проникновения, </t>
    </r>
    <r>
      <rPr>
        <sz val="9"/>
        <color rgb="FFFF0000"/>
        <rFont val="Consolas"/>
        <family val="3"/>
        <charset val="204"/>
      </rPr>
      <t>трубостойки (стояки) не строятся</t>
    </r>
    <r>
      <rPr>
        <sz val="9"/>
        <color theme="1" tint="4.9989318521683403E-2"/>
        <rFont val="Consolas"/>
        <family val="3"/>
        <charset val="204"/>
      </rPr>
      <t xml:space="preserve">, ,оконечивание кабеля (МПК и ВОК) с обеих сторон,  нормативная длина  магистральных участков </t>
    </r>
    <r>
      <rPr>
        <b/>
        <sz val="9"/>
        <color rgb="FFFF0000"/>
        <rFont val="Consolas"/>
        <family val="3"/>
        <charset val="204"/>
      </rPr>
      <t xml:space="preserve">ВОЛС в кластере ШПД  до 500 м </t>
    </r>
    <r>
      <rPr>
        <sz val="9"/>
        <color theme="1" tint="4.9989318521683403E-2"/>
        <rFont val="Consolas"/>
        <family val="3"/>
        <charset val="204"/>
      </rPr>
      <t>на один дом</t>
    </r>
  </si>
  <si>
    <t>1.2.Работы,независимые от % проникновения</t>
  </si>
  <si>
    <t>104.1</t>
  </si>
  <si>
    <t>104.2</t>
  </si>
  <si>
    <t>104.4</t>
  </si>
  <si>
    <t>104.5</t>
  </si>
  <si>
    <t>105.1</t>
  </si>
  <si>
    <t>105.2</t>
  </si>
  <si>
    <t>105.4</t>
  </si>
  <si>
    <t>105.5</t>
  </si>
  <si>
    <r>
      <t xml:space="preserve">СМР, ПИР, прочие затраты, не ограничиваясь перечисленным:монтаж этажного оповещателя 30В, </t>
    </r>
    <r>
      <rPr>
        <sz val="9"/>
        <color rgb="FFFF0000"/>
        <rFont val="Consolas"/>
        <family val="3"/>
        <charset val="204"/>
      </rPr>
      <t>без стоимости оборудования, с учетом всех материалов.</t>
    </r>
  </si>
  <si>
    <r>
      <t xml:space="preserve">СМР, ПИР, прочие затраты, не ограничиваясь перечисленным:монтаж рупорного громкоговорителя 100 В, </t>
    </r>
    <r>
      <rPr>
        <sz val="9"/>
        <color rgb="FFFF0000"/>
        <rFont val="Consolas"/>
        <family val="3"/>
        <charset val="204"/>
      </rPr>
      <t>без стоимости оборудования, с учетом всех материалов.</t>
    </r>
  </si>
  <si>
    <r>
      <t>ПИР, СМР, Прочие затраты, не ограничиваясь перечисленным: Разработка грунта, прокладка ПВХ трубки в грунт, засыпка, трамбовка,</t>
    </r>
    <r>
      <rPr>
        <sz val="9"/>
        <color rgb="FFFF0000"/>
        <rFont val="Consolas"/>
        <family val="3"/>
        <charset val="204"/>
      </rPr>
      <t xml:space="preserve"> с учетом стоимости всех материалов, с восстановлением благоустройства.</t>
    </r>
    <r>
      <rPr>
        <sz val="9"/>
        <rFont val="Consolas"/>
        <family val="3"/>
        <charset val="204"/>
      </rPr>
      <t xml:space="preserve"> </t>
    </r>
  </si>
  <si>
    <r>
      <t xml:space="preserve">ПИР, СМР, прочие, не ограничиваясь перечисленным: прокладка и монтаж кабеля методом ВП с учетом разделок, оконцовки с устройством, при необходимости, отверстий в конструкциях  с заделкой (с установкой гильз), </t>
    </r>
    <r>
      <rPr>
        <sz val="9"/>
        <color rgb="FFFF0000"/>
        <rFont val="Consolas"/>
        <family val="3"/>
        <charset val="204"/>
      </rPr>
      <t>с учетом стоимости  кабеля,  коннектора, прочих материалов.</t>
    </r>
    <r>
      <rPr>
        <sz val="9"/>
        <color theme="1" tint="4.9989318521683403E-2"/>
        <rFont val="Consolas"/>
        <family val="3"/>
        <charset val="204"/>
      </rPr>
      <t xml:space="preserve">   Оформление исполнительной документации по МР.</t>
    </r>
  </si>
  <si>
    <r>
      <t>ПИР, СМР:Работы и Услуги. Включено не ограничиваясь перечисленным: прокладка и монтаж аудиотрубки, с устройствоам отверстий  в стенах (с установкой гильз) с заделкой,</t>
    </r>
    <r>
      <rPr>
        <sz val="9"/>
        <color rgb="FFFF0000"/>
        <rFont val="Consolas"/>
        <family val="3"/>
        <charset val="204"/>
      </rPr>
      <t xml:space="preserve"> с учетом стоимости всех материалов</t>
    </r>
    <r>
      <rPr>
        <sz val="9"/>
        <color theme="1" tint="4.9989318521683403E-2"/>
        <rFont val="Consolas"/>
        <family val="3"/>
        <charset val="204"/>
      </rPr>
      <t>.Оформление исполнительной документации по МР.</t>
    </r>
  </si>
  <si>
    <r>
      <t xml:space="preserve">ПИР, СМР: </t>
    </r>
    <r>
      <rPr>
        <sz val="9"/>
        <color rgb="FFFF0000"/>
        <rFont val="Consolas"/>
        <family val="3"/>
        <charset val="204"/>
      </rPr>
      <t>с учетом стоимости электросчетчика и всех материалов</t>
    </r>
    <r>
      <rPr>
        <sz val="9"/>
        <color theme="1" tint="4.9989318521683403E-2"/>
        <rFont val="Consolas"/>
        <family val="3"/>
        <charset val="204"/>
      </rPr>
      <t xml:space="preserve">, включая монтаж и подключение автоматических выключателей и установку защитного ящика. </t>
    </r>
  </si>
  <si>
    <r>
      <t xml:space="preserve">Оборудование и полный комплекс работ по установке одного шлагбаума с функцией открытия по радиобрелку/радиометке, по звонку с номера мобильного телефона, </t>
    </r>
    <r>
      <rPr>
        <sz val="9"/>
        <color rgb="FFFF0000"/>
        <rFont val="Consolas"/>
        <family val="3"/>
        <charset val="204"/>
      </rPr>
      <t>с учетом стоимости материалов и комплектующих. Не включено: Абонентские комплекты.</t>
    </r>
  </si>
  <si>
    <r>
      <t>ПИР, СМР, прочие, не ограничиваясь перечисленным:оборудование и полный комплекс работ по установке одного шлагбаума с функцией открытия по радиобрелку/радиометке, по звонку с номера мобильного телефона и открытия с помощью кодовой панели</t>
    </r>
    <r>
      <rPr>
        <sz val="9"/>
        <color rgb="FFFF0000"/>
        <rFont val="Consolas"/>
        <family val="3"/>
        <charset val="204"/>
      </rPr>
      <t>,с учетом стоимости материалов и комплектующих.                                                                                                        Не включено: Абонентские комплекты.</t>
    </r>
  </si>
  <si>
    <r>
      <t>ПИР, СМР, прочие, не ограничиваясь перечисленным:оборудование и полный комплекс работ по установке одного шлагбаума с функцией распознавания номеров,</t>
    </r>
    <r>
      <rPr>
        <sz val="9"/>
        <color rgb="FFFF0000"/>
        <rFont val="Consolas"/>
        <family val="3"/>
        <charset val="204"/>
      </rPr>
      <t>с учетом стоимости материалов и комплектующих.   Не включено: Абонентские комплекты.</t>
    </r>
  </si>
  <si>
    <r>
      <t xml:space="preserve">ПИР, СМР: Монтаж медножильной фидерной линии 240 В методом подвеса на трубостойки, </t>
    </r>
    <r>
      <rPr>
        <sz val="9"/>
        <color rgb="FFFF0000"/>
        <rFont val="Consolas"/>
        <family val="3"/>
        <charset val="204"/>
      </rPr>
      <t>включая кабель, трубостойки, анкера и расходные материалы.</t>
    </r>
  </si>
  <si>
    <r>
      <t xml:space="preserve">СМР, не ограничиваясь перечисленным: установка  коммутатора  доступа/СПВ-конвертера, патч-панели в существующий шкаф,  включая монтаж SFP </t>
    </r>
    <r>
      <rPr>
        <sz val="9"/>
        <color rgb="FFFF0000"/>
        <rFont val="Consolas"/>
        <family val="3"/>
        <charset val="204"/>
      </rPr>
      <t>и стоимость материалов и кабеля, без учета стоимости оборудования</t>
    </r>
    <r>
      <rPr>
        <sz val="9"/>
        <color theme="1" tint="4.9989318521683403E-2"/>
        <rFont val="Consolas"/>
        <family val="3"/>
        <charset val="204"/>
      </rPr>
      <t>.Подключение  электропитания от существующего источника питания;  подключение к сети передачи данных.  Оформление исполнительной документации по МР.</t>
    </r>
  </si>
  <si>
    <r>
      <t>ПИР, СМР: Монтаж понижающего абонентского трансформатора (ТАМУ)</t>
    </r>
    <r>
      <rPr>
        <sz val="9"/>
        <color rgb="FFFF0000"/>
        <rFont val="Consolas"/>
        <family val="3"/>
        <charset val="204"/>
      </rPr>
      <t xml:space="preserve"> с учетом стоимости всех материалов</t>
    </r>
  </si>
  <si>
    <r>
      <t xml:space="preserve">№(код) </t>
    </r>
    <r>
      <rPr>
        <sz val="8"/>
        <color theme="1" tint="4.9989318521683403E-2"/>
        <rFont val="Consolas"/>
        <family val="3"/>
        <charset val="204"/>
      </rPr>
      <t>расценки</t>
    </r>
  </si>
  <si>
    <t>908.2</t>
  </si>
  <si>
    <t>ПНР на вызывную панель домофона</t>
  </si>
  <si>
    <t xml:space="preserve">Настоящие удельные расценки предназначены для строительства сети абонентского доступа с использованием технологии FTTb для предоставления  комплекса услуг «умный дом». При этом данные расценки предназначены для планирования затрат и оплаты работ по строительству ДРС, дооборудованию узлов доступа, устройству абонентской и прочей разводок, других работ в целях получения дополнительных услуг (радиофикация, домофония, видеонаблюдение, охранная сигнализация, дворовый Wi-Fi, сбор показаний приборов учета потребления энергоресурсов, прочие сервисы). Настоящие расценки применять совместно с утвержденными  удельными расценками на строительство ШПД.Отсутсутствующие в настоящем перечне и необходимые к применению расценки (такие, как стоимость порта FTTB, дополнительные работы на магистрали, установка дополнительных узлов доступа и другие) следует учитывать, используя утвержденные расценки из соотвествующих Разделов. </t>
  </si>
  <si>
    <t>СМР,ПНР:Включая весь перечень работ но настройке оборудования</t>
  </si>
  <si>
    <r>
      <t xml:space="preserve">Прокладка провода трансляционного типа ПТВЖ для радиофикации жилого дома </t>
    </r>
    <r>
      <rPr>
        <b/>
        <sz val="9"/>
        <color theme="1" tint="4.9989318521683403E-2"/>
        <rFont val="Consolas"/>
        <family val="3"/>
        <charset val="204"/>
      </rPr>
      <t>(скрытая проводка)</t>
    </r>
  </si>
  <si>
    <r>
      <t>Устройство абонентской разводки кабелем типа UTP/FTP Cat 5 (</t>
    </r>
    <r>
      <rPr>
        <b/>
        <sz val="9"/>
        <color rgb="FFFF0000"/>
        <rFont val="Consolas"/>
        <family val="3"/>
        <charset val="204"/>
      </rPr>
      <t>от 5 до 8 пар</t>
    </r>
    <r>
      <rPr>
        <sz val="9"/>
        <color theme="1"/>
        <rFont val="Consolas"/>
        <family val="3"/>
        <charset val="204"/>
      </rPr>
      <t xml:space="preserve">)  </t>
    </r>
    <r>
      <rPr>
        <b/>
        <sz val="9"/>
        <color theme="1"/>
        <rFont val="Consolas"/>
        <family val="3"/>
        <charset val="204"/>
      </rPr>
      <t xml:space="preserve">по стене/потолку с креплением скобами,монтажными площадками </t>
    </r>
    <r>
      <rPr>
        <sz val="9"/>
        <color theme="1"/>
        <rFont val="Consolas"/>
        <family val="3"/>
        <charset val="204"/>
      </rPr>
      <t>(открытая проводка) с оконцовкой коннектором типа RJ или розеткой типа RJ</t>
    </r>
  </si>
  <si>
    <r>
      <t>Устройство абонентской разводки кабелем типа UTP/FTP Cat 5 (</t>
    </r>
    <r>
      <rPr>
        <b/>
        <sz val="9"/>
        <color rgb="FFFF0000"/>
        <rFont val="Consolas"/>
        <family val="3"/>
        <charset val="204"/>
      </rPr>
      <t>от 5 до 8 пар</t>
    </r>
    <r>
      <rPr>
        <sz val="9"/>
        <color theme="1" tint="4.9989318521683403E-2"/>
        <rFont val="Consolas"/>
        <family val="3"/>
        <charset val="204"/>
      </rPr>
      <t xml:space="preserve">)  по стене </t>
    </r>
    <r>
      <rPr>
        <b/>
        <sz val="9"/>
        <color theme="1" tint="4.9989318521683403E-2"/>
        <rFont val="Consolas"/>
        <family val="3"/>
        <charset val="204"/>
      </rPr>
      <t>с устройством и заделкой борозды с креплением  скобами</t>
    </r>
    <r>
      <rPr>
        <sz val="9"/>
        <color theme="1" tint="4.9989318521683403E-2"/>
        <rFont val="Consolas"/>
        <family val="3"/>
        <charset val="204"/>
      </rPr>
      <t xml:space="preserve"> (скрытая проводка) с оконцовкой коннектором типа RJ или розеткой типа RJ</t>
    </r>
  </si>
  <si>
    <r>
      <t xml:space="preserve">Прокладка и монтаж кабеля типа UTP/FTP </t>
    </r>
    <r>
      <rPr>
        <b/>
        <sz val="9"/>
        <color theme="1" tint="4.9989318521683403E-2"/>
        <rFont val="Consolas"/>
        <family val="3"/>
        <charset val="204"/>
      </rPr>
      <t>методом воздушного перехода</t>
    </r>
    <r>
      <rPr>
        <sz val="9"/>
        <color theme="1" tint="4.9989318521683403E-2"/>
        <rFont val="Consolas"/>
        <family val="3"/>
        <charset val="204"/>
      </rPr>
      <t xml:space="preserve"> с оконцовкой коннектором типа RJ </t>
    </r>
  </si>
  <si>
    <r>
      <t xml:space="preserve">Установка, монтаж, настройка  видеокамеры с кронштейном </t>
    </r>
    <r>
      <rPr>
        <b/>
        <sz val="9"/>
        <color theme="1" tint="4.9989318521683403E-2"/>
        <rFont val="Consolas"/>
        <family val="3"/>
        <charset val="204"/>
      </rPr>
      <t>на фасаде здания (уличной)</t>
    </r>
  </si>
  <si>
    <r>
      <t xml:space="preserve">Установка аудиотрубки </t>
    </r>
    <r>
      <rPr>
        <b/>
        <sz val="9"/>
        <color theme="1" tint="4.9989318521683403E-2"/>
        <rFont val="Consolas"/>
        <family val="3"/>
        <charset val="204"/>
      </rPr>
      <t>в квартире</t>
    </r>
    <r>
      <rPr>
        <sz val="9"/>
        <color theme="1" tint="4.9989318521683403E-2"/>
        <rFont val="Consolas"/>
        <family val="3"/>
        <charset val="204"/>
      </rPr>
      <t xml:space="preserve"> абонента</t>
    </r>
  </si>
  <si>
    <r>
      <t xml:space="preserve">Сборка и монтаж базовой радиостанции </t>
    </r>
    <r>
      <rPr>
        <b/>
        <sz val="9"/>
        <color theme="1" tint="4.9989318521683403E-2"/>
        <rFont val="Consolas"/>
        <family val="3"/>
        <charset val="204"/>
      </rPr>
      <t>на проектируемых конструкциях</t>
    </r>
    <r>
      <rPr>
        <sz val="9"/>
        <color theme="1" tint="4.9989318521683403E-2"/>
        <rFont val="Consolas"/>
        <family val="3"/>
        <charset val="204"/>
      </rPr>
      <t xml:space="preserve"> с их монтажом  </t>
    </r>
  </si>
  <si>
    <r>
      <t>Сборка и монтаж базовой радиостанции</t>
    </r>
    <r>
      <rPr>
        <b/>
        <sz val="9"/>
        <color theme="1" tint="4.9989318521683403E-2"/>
        <rFont val="Consolas"/>
        <family val="3"/>
        <charset val="204"/>
      </rPr>
      <t xml:space="preserve"> на существующих конструкциях</t>
    </r>
  </si>
  <si>
    <r>
      <t xml:space="preserve">Прокладка и монтаж кабеля для внутрилифтовой камеры </t>
    </r>
    <r>
      <rPr>
        <b/>
        <sz val="9"/>
        <color theme="1" tint="4.9989318521683403E-2"/>
        <rFont val="Consolas"/>
        <family val="3"/>
        <charset val="204"/>
      </rPr>
      <t>в шахте лифта</t>
    </r>
  </si>
  <si>
    <r>
      <t xml:space="preserve">Организация шлагбаума </t>
    </r>
    <r>
      <rPr>
        <b/>
        <sz val="9"/>
        <color rgb="FFFF0000"/>
        <rFont val="Consolas"/>
        <family val="3"/>
        <charset val="204"/>
      </rPr>
      <t>(тип 1)</t>
    </r>
  </si>
  <si>
    <r>
      <t xml:space="preserve">Организация шлагбаума </t>
    </r>
    <r>
      <rPr>
        <b/>
        <sz val="9"/>
        <color rgb="FFFF0000"/>
        <rFont val="Consolas"/>
        <family val="3"/>
        <charset val="204"/>
      </rPr>
      <t>(тип 2)</t>
    </r>
  </si>
  <si>
    <r>
      <t xml:space="preserve">Организация шлагбаума </t>
    </r>
    <r>
      <rPr>
        <b/>
        <sz val="9"/>
        <color rgb="FFFF0000"/>
        <rFont val="Consolas"/>
        <family val="3"/>
        <charset val="204"/>
      </rPr>
      <t>(тип 3)</t>
    </r>
  </si>
  <si>
    <r>
      <t xml:space="preserve">Монтаж оборудования Wi-Fi </t>
    </r>
    <r>
      <rPr>
        <b/>
        <sz val="9"/>
        <color rgb="FFFF0000"/>
        <rFont val="Consolas"/>
        <family val="3"/>
        <charset val="204"/>
      </rPr>
      <t>внешнего</t>
    </r>
    <r>
      <rPr>
        <sz val="9"/>
        <color theme="1" tint="4.9989318521683403E-2"/>
        <rFont val="Consolas"/>
        <family val="3"/>
        <charset val="204"/>
      </rPr>
      <t xml:space="preserve"> размещения (Outdoor) 
</t>
    </r>
  </si>
  <si>
    <r>
      <t xml:space="preserve">Монтаж оборудования Wi-Fi </t>
    </r>
    <r>
      <rPr>
        <b/>
        <sz val="9"/>
        <color rgb="FFFF0000"/>
        <rFont val="Consolas"/>
        <family val="3"/>
        <charset val="204"/>
      </rPr>
      <t xml:space="preserve">внутреннего </t>
    </r>
    <r>
      <rPr>
        <sz val="9"/>
        <color theme="1" tint="4.9989318521683403E-2"/>
        <rFont val="Consolas"/>
        <family val="3"/>
        <charset val="204"/>
      </rPr>
      <t xml:space="preserve">размещения (Indoor) 
</t>
    </r>
  </si>
  <si>
    <r>
      <t xml:space="preserve">Радиофикация подъездов в случае </t>
    </r>
    <r>
      <rPr>
        <b/>
        <sz val="9"/>
        <color theme="1" tint="4.9989318521683403E-2"/>
        <rFont val="Consolas"/>
        <family val="3"/>
        <charset val="204"/>
      </rPr>
      <t>более 1-ого подъезда</t>
    </r>
    <r>
      <rPr>
        <sz val="9"/>
        <color theme="1" tint="4.9989318521683403E-2"/>
        <rFont val="Consolas"/>
        <family val="3"/>
        <charset val="204"/>
      </rPr>
      <t xml:space="preserve"> в доме</t>
    </r>
  </si>
  <si>
    <r>
      <t>Монтаж дополнительного коммутатора доступа (в том числе коммутатора РОЕ)/СПВ-конвертера в ранее установленный шкаф в узле доступа для реализации дополнительных услуг (</t>
    </r>
    <r>
      <rPr>
        <sz val="9"/>
        <color rgb="FFFF0000"/>
        <rFont val="Consolas"/>
        <family val="3"/>
        <charset val="204"/>
      </rPr>
      <t>см. Примечание 12</t>
    </r>
    <r>
      <rPr>
        <sz val="9"/>
        <color theme="1" tint="4.9989318521683403E-2"/>
        <rFont val="Consolas"/>
        <family val="3"/>
        <charset val="204"/>
      </rPr>
      <t>)</t>
    </r>
  </si>
  <si>
    <r>
      <t xml:space="preserve">Прокладка провода трансляционного для радиофикации жилого дома </t>
    </r>
    <r>
      <rPr>
        <b/>
        <sz val="9"/>
        <color rgb="FFFF0000"/>
        <rFont val="Consolas"/>
        <family val="3"/>
        <charset val="204"/>
      </rPr>
      <t>с устройством инфраструктуры</t>
    </r>
    <r>
      <rPr>
        <sz val="9"/>
        <color theme="1" tint="4.9989318521683403E-2"/>
        <rFont val="Consolas"/>
        <family val="3"/>
        <charset val="204"/>
      </rPr>
      <t xml:space="preserve"> для провода</t>
    </r>
  </si>
  <si>
    <r>
      <t xml:space="preserve">Прокладка провода трансляционного типа ПТВЖ для радиофикации жилого дома </t>
    </r>
    <r>
      <rPr>
        <b/>
        <sz val="9"/>
        <color theme="1" tint="4.9989318521683403E-2"/>
        <rFont val="Consolas"/>
        <family val="3"/>
        <charset val="204"/>
      </rPr>
      <t xml:space="preserve">в готовой инфраструктуре </t>
    </r>
  </si>
  <si>
    <r>
      <t>Монтаж этажного оповещателя</t>
    </r>
    <r>
      <rPr>
        <b/>
        <sz val="9"/>
        <color rgb="FFFF0000"/>
        <rFont val="Consolas"/>
        <family val="3"/>
        <charset val="204"/>
      </rPr>
      <t xml:space="preserve"> 30 В</t>
    </r>
  </si>
  <si>
    <r>
      <t xml:space="preserve">Монтаж рупорного громкоговорителя </t>
    </r>
    <r>
      <rPr>
        <b/>
        <sz val="9"/>
        <color rgb="FFFF0000"/>
        <rFont val="Consolas"/>
        <family val="3"/>
        <charset val="204"/>
      </rPr>
      <t>100 В</t>
    </r>
  </si>
  <si>
    <r>
      <t xml:space="preserve">Прокладка и монтаж кабеля типа ВВГ по </t>
    </r>
    <r>
      <rPr>
        <b/>
        <sz val="9"/>
        <color theme="1" tint="4.9989318521683403E-2"/>
        <rFont val="Consolas"/>
        <family val="3"/>
        <charset val="204"/>
      </rPr>
      <t xml:space="preserve">проектируемому металлорукаву с его установкой </t>
    </r>
  </si>
  <si>
    <r>
      <t xml:space="preserve">Прокладка и монтаж кабеля типа ВВГ/ПВС по стене </t>
    </r>
    <r>
      <rPr>
        <b/>
        <sz val="9"/>
        <color theme="1" tint="4.9989318521683403E-2"/>
        <rFont val="Consolas"/>
        <family val="3"/>
        <charset val="204"/>
      </rPr>
      <t xml:space="preserve">с креплением  скобами (открытая проводка)  </t>
    </r>
  </si>
  <si>
    <r>
      <t xml:space="preserve">Прокладка и монтаж кабеля типа ВВГ/ПВС по стене </t>
    </r>
    <r>
      <rPr>
        <b/>
        <sz val="9"/>
        <color theme="1" tint="4.9989318521683403E-2"/>
        <rFont val="Consolas"/>
        <family val="3"/>
        <charset val="204"/>
      </rPr>
      <t xml:space="preserve">с устройством и заделкой борозды </t>
    </r>
    <r>
      <rPr>
        <sz val="9"/>
        <color theme="1" tint="4.9989318521683403E-2"/>
        <rFont val="Consolas"/>
        <family val="3"/>
        <charset val="204"/>
      </rPr>
      <t xml:space="preserve"> (скрытая проводка)  </t>
    </r>
  </si>
  <si>
    <t>Настройка коммутатора (в том числе коммутатора РОЕ)</t>
  </si>
  <si>
    <t xml:space="preserve">Настоящая расценка усредненно учитывает полный комплекс работ по устройству абонентской разводки для оказания комплекса услуг "умный дом" и применяется только для планирования бюджета проекта. При этом отдельные работы по устройству абонентской разводки в расчете бюджета дополнительно не учитываются.  Расчет за выполненные работы произвордить на основании расценок на отдельные виды работ. </t>
  </si>
  <si>
    <r>
      <t xml:space="preserve">Примечание: в УР на прокладку кабелей с примечанием вида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r>
      <rPr>
        <sz val="10"/>
        <color theme="1"/>
        <rFont val="Consolas"/>
        <family val="3"/>
        <charset val="204"/>
      </rPr>
      <t xml:space="preserve">" данное условие применяется, если </t>
    </r>
    <r>
      <rPr>
        <b/>
        <sz val="10"/>
        <color theme="1"/>
        <rFont val="Consolas"/>
        <family val="3"/>
        <charset val="204"/>
      </rPr>
      <t xml:space="preserve"> только общая длина трассы кабеля </t>
    </r>
    <r>
      <rPr>
        <sz val="10"/>
        <color theme="1"/>
        <rFont val="Consolas"/>
        <family val="3"/>
        <charset val="204"/>
      </rPr>
      <t>на объекте имееет протяженность менее 100 м.Данное условие не применяется для отдельных фрагментов трассы или составных частей трассы из кабелей по разным УР.</t>
    </r>
  </si>
  <si>
    <t xml:space="preserve">Настоящая расценка усредненно учитывает полный комплекс работ по устройству домофона или замка на вторую дверь подъезда. При этом данной расценкой учтен весь комплекс работ, в том числе прокладка питающих кабелей типа ВВГ/ПВС и кабелей "витая пара" типа UTP/FTP. Данная расценка предназначена для планирования бюджета проекта. При этом отдельные работы по установке домофонов в расчете бюджета дополнительно не учитываются.  Расчет за выполненные работы производить на основании расценок на отдельные виды работ. </t>
  </si>
  <si>
    <r>
      <t xml:space="preserve">Прокладка и монтаж кабеля типа ВВГ/ПВС </t>
    </r>
    <r>
      <rPr>
        <b/>
        <sz val="9"/>
        <color theme="1" tint="4.9989318521683403E-2"/>
        <rFont val="Consolas"/>
        <family val="3"/>
        <charset val="204"/>
      </rPr>
      <t xml:space="preserve">по установленным конструкциям </t>
    </r>
    <r>
      <rPr>
        <sz val="9"/>
        <color theme="1" tint="4.9989318521683403E-2"/>
        <rFont val="Consolas"/>
        <family val="3"/>
        <charset val="204"/>
      </rPr>
      <t xml:space="preserve">(труба / короб / кабельный канал / гофра / металлорукав) с разводкой жил по приборам </t>
    </r>
  </si>
  <si>
    <t>Установка разветвительной (монтажной) коробки</t>
  </si>
  <si>
    <r>
      <rPr>
        <b/>
        <sz val="9"/>
        <color rgb="FF000000"/>
        <rFont val="Consolas"/>
        <family val="3"/>
        <charset val="204"/>
      </rPr>
      <t>Организация кабельного ввода в здание</t>
    </r>
    <r>
      <rPr>
        <sz val="9"/>
        <color rgb="FF000000"/>
        <rFont val="Consolas"/>
        <family val="3"/>
        <charset val="204"/>
      </rPr>
      <t xml:space="preserve"> – (полный комплекс работ с учетом восстановления асфальтобетонных и плиточных покрытий и газонов, с учётом стоимости материалов,</t>
    </r>
    <r>
      <rPr>
        <sz val="9"/>
        <color rgb="FFFF0000"/>
        <rFont val="Consolas"/>
        <family val="3"/>
        <charset val="204"/>
      </rPr>
      <t xml:space="preserve"> без учета стоимости колодца и кабеля</t>
    </r>
    <r>
      <rPr>
        <sz val="9"/>
        <color theme="1" tint="4.9989318521683403E-2"/>
        <rFont val="Consolas"/>
        <family val="3"/>
        <charset val="204"/>
      </rPr>
      <t>)</t>
    </r>
  </si>
  <si>
    <r>
      <t xml:space="preserve">ПИР, СМР (полный комплекс работ, не ограничиваясь перечисленным,  </t>
    </r>
    <r>
      <rPr>
        <sz val="9"/>
        <color rgb="FFFF0000"/>
        <rFont val="Consolas"/>
        <family val="3"/>
        <charset val="204"/>
      </rPr>
      <t>с учётом стоимости материалов и конструкций</t>
    </r>
    <r>
      <rPr>
        <sz val="9"/>
        <color theme="1"/>
        <rFont val="Consolas"/>
        <family val="3"/>
        <charset val="204"/>
      </rPr>
      <t xml:space="preserve">): прокладка трубы а/ц или п/эт от ближайшей точки трассы кабельной канализации до фасада здания с пробивкой (сверлением) и заделкой отверстий в стене или фундаменте здания или выходом на фасад здания (ввод на стену здания), герметизация проложенного канала с двух сторон (в колодце и подвале);восстановление а/б и плиточных покрытий и газонов, восстановление отделки фасада и фундамента, оформление разрешительных документов, заказ и оплата топосъемки при строительстве, заказ и оплата топосъемки исполнительной;оформление охранных зон линий связи,  постановка на кадастровый учёт, сдача в надзорные органы. </t>
    </r>
    <r>
      <rPr>
        <sz val="9"/>
        <color rgb="FF0070C0"/>
        <rFont val="Consolas"/>
        <family val="3"/>
        <charset val="204"/>
      </rPr>
      <t>Справки о выполнении ТУ от собственников инфраструктуры,</t>
    </r>
    <r>
      <rPr>
        <sz val="9"/>
        <color theme="1"/>
        <rFont val="Consolas"/>
        <family val="3"/>
        <charset val="204"/>
      </rPr>
      <t>оформление исполнительной документации по МР и РД</t>
    </r>
  </si>
  <si>
    <r>
      <t>Оформление разрешительных документов на землеотвод под сооружение, получение кадастрового паспорта ,справки о выполнении ТУ от собственников инфраструктуры.</t>
    </r>
    <r>
      <rPr>
        <sz val="9"/>
        <color rgb="FFFF0000"/>
        <rFont val="Consolas"/>
        <family val="3"/>
        <charset val="204"/>
      </rPr>
      <t>Без учета счета на оплату согласований.</t>
    </r>
  </si>
  <si>
    <r>
      <rPr>
        <b/>
        <sz val="9"/>
        <color rgb="FF000000"/>
        <rFont val="Consolas"/>
        <family val="3"/>
        <charset val="204"/>
      </rPr>
      <t>Стоимость перебивки (замены) колодца ККС</t>
    </r>
    <r>
      <rPr>
        <sz val="9"/>
        <color rgb="FF000000"/>
        <rFont val="Consolas"/>
        <family val="3"/>
        <charset val="204"/>
      </rPr>
      <t xml:space="preserve"> (полный комплекс работ),оснастка по факту имеющихся сетей, но не менее чем по по 2 кронштейна на продольной стене с консолью ККЧ-3 каждый.</t>
    </r>
  </si>
  <si>
    <r>
      <t xml:space="preserve">ПИР (включая предварительную рабочую документацию), СМР </t>
    </r>
    <r>
      <rPr>
        <sz val="9"/>
        <color rgb="FFFF0000"/>
        <rFont val="Consolas"/>
        <family val="3"/>
        <charset val="204"/>
      </rPr>
      <t>(включая все материалы)</t>
    </r>
    <r>
      <rPr>
        <sz val="9"/>
        <color theme="1"/>
        <rFont val="Consolas"/>
        <family val="3"/>
        <charset val="204"/>
      </rPr>
      <t xml:space="preserve">, </t>
    </r>
    <r>
      <rPr>
        <sz val="9"/>
        <color rgb="FF0070C0"/>
        <rFont val="Consolas"/>
        <family val="3"/>
        <charset val="204"/>
      </rPr>
      <t>гидроизоляция,восстановление зелёных зон, проезжей части и пешеходных дорожек,</t>
    </r>
    <r>
      <rPr>
        <sz val="9"/>
        <color theme="1"/>
        <rFont val="Consolas"/>
        <family val="3"/>
        <charset val="204"/>
      </rPr>
      <t xml:space="preserve">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color theme="1"/>
        <rFont val="Consolas"/>
        <family val="3"/>
        <charset val="204"/>
      </rPr>
      <t>,исполнительной документации по МР и РД</t>
    </r>
  </si>
  <si>
    <r>
      <rPr>
        <b/>
        <sz val="9"/>
        <color rgb="FF000000"/>
        <rFont val="Consolas"/>
        <family val="3"/>
        <charset val="204"/>
      </rPr>
      <t>Переход методом ГНБ</t>
    </r>
    <r>
      <rPr>
        <b/>
        <sz val="9"/>
        <color rgb="FFFF0000"/>
        <rFont val="Consolas"/>
        <family val="3"/>
        <charset val="204"/>
      </rPr>
      <t xml:space="preserve"> одной трубой</t>
    </r>
    <r>
      <rPr>
        <sz val="9"/>
        <color rgb="FFFF0000"/>
        <rFont val="Consolas"/>
        <family val="3"/>
        <charset val="204"/>
      </rPr>
      <t xml:space="preserve"> </t>
    </r>
    <r>
      <rPr>
        <sz val="9"/>
        <color theme="1" tint="4.9989318521683403E-2"/>
        <rFont val="Consolas"/>
        <family val="3"/>
        <charset val="204"/>
      </rPr>
      <t>в грунтах 1-4 категории</t>
    </r>
    <r>
      <rPr>
        <sz val="9"/>
        <color rgb="FFFF0000"/>
        <rFont val="Consolas"/>
        <family val="3"/>
        <charset val="204"/>
      </rPr>
      <t xml:space="preserve"> </t>
    </r>
    <r>
      <rPr>
        <sz val="9"/>
        <color rgb="FF000000"/>
        <rFont val="Consolas"/>
        <family val="3"/>
        <charset val="204"/>
      </rPr>
      <t>(полный комплекс работ)***</t>
    </r>
  </si>
  <si>
    <r>
      <t xml:space="preserve">ПИР (включая предварительную рабочую документацию); СМР (включая стоимость всех материалов),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;исполнительной документации по МР и РД</t>
    </r>
  </si>
  <si>
    <r>
      <rPr>
        <b/>
        <sz val="9"/>
        <color rgb="FF000000"/>
        <rFont val="Consolas"/>
        <family val="3"/>
        <charset val="204"/>
      </rPr>
      <t>Переход методом ГНБ</t>
    </r>
    <r>
      <rPr>
        <sz val="9"/>
        <color rgb="FFFF0000"/>
        <rFont val="Consolas"/>
        <family val="3"/>
        <charset val="204"/>
      </rPr>
      <t xml:space="preserve"> </t>
    </r>
    <r>
      <rPr>
        <b/>
        <sz val="9"/>
        <color rgb="FFFF0000"/>
        <rFont val="Consolas"/>
        <family val="3"/>
        <charset val="204"/>
      </rPr>
      <t>двумя трубами</t>
    </r>
    <r>
      <rPr>
        <sz val="9"/>
        <color rgb="FF000000"/>
        <rFont val="Consolas"/>
        <family val="3"/>
        <charset val="204"/>
      </rPr>
      <t xml:space="preserve"> в грунтах 1-4 категории (полный комплекс работ)***</t>
    </r>
  </si>
  <si>
    <r>
      <t xml:space="preserve">ПИР (включая предварительную рабочую документацию); СМР (включая стоимость всех материалов),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исполнительной документации по МР и РД</t>
    </r>
  </si>
  <si>
    <r>
      <t>ПИР; СМР (включая подготовительные работы и стоимость всех материалов),  оформление разрешительных документов, исполнительной документации,</t>
    </r>
    <r>
      <rPr>
        <sz val="9"/>
        <color rgb="FF0070C0"/>
        <rFont val="Consolas"/>
        <family val="3"/>
        <charset val="204"/>
      </rPr>
      <t xml:space="preserve"> справки о выполнении ТУ от собственников инфраструктуры;</t>
    </r>
    <r>
      <rPr>
        <sz val="9"/>
        <color theme="1"/>
        <rFont val="Consolas"/>
        <family val="3"/>
        <charset val="204"/>
      </rPr>
      <t>закрытие ордера в администрации</t>
    </r>
  </si>
  <si>
    <r>
      <t xml:space="preserve">Восстановление асфальтобетонных покрытий </t>
    </r>
    <r>
      <rPr>
        <b/>
        <sz val="9"/>
        <color rgb="FFFF0000"/>
        <rFont val="Consolas"/>
        <family val="3"/>
        <charset val="204"/>
      </rPr>
      <t>на пешеходной части</t>
    </r>
  </si>
  <si>
    <r>
      <t>ПИР; СМР (включая подготовительные работы и стоимость всех материалов),  оформление разрешительных документов, исполнительной документации,</t>
    </r>
    <r>
      <rPr>
        <sz val="9"/>
        <color rgb="FF0070C0"/>
        <rFont val="Consolas"/>
        <family val="3"/>
        <charset val="204"/>
      </rPr>
      <t xml:space="preserve"> справки о выполнении ТУ от собственников инфраструктуры;</t>
    </r>
    <r>
      <rPr>
        <sz val="9"/>
        <rFont val="Consolas"/>
        <family val="3"/>
        <charset val="204"/>
      </rPr>
      <t>закрытие ордера в администрации</t>
    </r>
  </si>
  <si>
    <r>
      <t xml:space="preserve">Восстановление асфальтобетонных покрытий </t>
    </r>
    <r>
      <rPr>
        <b/>
        <sz val="9"/>
        <color rgb="FFFF0000"/>
        <rFont val="Consolas"/>
        <family val="3"/>
        <charset val="204"/>
      </rPr>
      <t xml:space="preserve">на проезжей части </t>
    </r>
  </si>
  <si>
    <r>
      <t xml:space="preserve">ПИР; СМР (включая подготовительные работы и стоимость всех материалов),  оформление разрешительных документов, исполнительной документации, </t>
    </r>
    <r>
      <rPr>
        <sz val="9"/>
        <color rgb="FF0070C0"/>
        <rFont val="Consolas"/>
        <family val="3"/>
        <charset val="204"/>
      </rPr>
      <t>справки о выполнении ТУ от собственников инфраструктуры</t>
    </r>
    <r>
      <rPr>
        <sz val="9"/>
        <rFont val="Consolas"/>
        <family val="3"/>
        <charset val="204"/>
      </rPr>
      <t>;закрытие ордера в администрации</t>
    </r>
  </si>
  <si>
    <r>
      <t>Восстановление тротуарной плитки, брусчатки и бордюров на</t>
    </r>
    <r>
      <rPr>
        <sz val="9"/>
        <color theme="1" tint="4.9989318521683403E-2"/>
        <rFont val="Consolas"/>
        <family val="3"/>
        <charset val="204"/>
      </rPr>
      <t xml:space="preserve"> пешеходной и/или проезжей части  ( </t>
    </r>
    <r>
      <rPr>
        <b/>
        <sz val="9"/>
        <color rgb="FFFF0000"/>
        <rFont val="Consolas"/>
        <family val="3"/>
        <charset val="204"/>
      </rPr>
      <t xml:space="preserve">с заменой </t>
    </r>
    <r>
      <rPr>
        <sz val="9"/>
        <color theme="1" tint="4.9989318521683403E-2"/>
        <rFont val="Consolas"/>
        <family val="3"/>
        <charset val="204"/>
      </rPr>
      <t>плитки, брусчатки, бордюров)</t>
    </r>
  </si>
  <si>
    <r>
      <t>ПИР, СМР (включая подготовительные работы и стоимость всех материалов),  оформление разрешительных документов, исполнительной документации,</t>
    </r>
    <r>
      <rPr>
        <sz val="9"/>
        <color rgb="FF0070C0"/>
        <rFont val="Consolas"/>
        <family val="3"/>
        <charset val="204"/>
      </rPr>
      <t xml:space="preserve"> справки о выполнении ТУ от собственников инфраструктуры;</t>
    </r>
    <r>
      <rPr>
        <sz val="9"/>
        <rFont val="Consolas"/>
        <family val="3"/>
        <charset val="204"/>
      </rPr>
      <t>закрытие ордера в администрации</t>
    </r>
  </si>
  <si>
    <r>
      <t>Восстановление тротуарной плитки, брусчатки и бордюров на</t>
    </r>
    <r>
      <rPr>
        <sz val="9"/>
        <color theme="1" tint="4.9989318521683403E-2"/>
        <rFont val="Consolas"/>
        <family val="3"/>
        <charset val="204"/>
      </rPr>
      <t xml:space="preserve"> пешеходной и/или проезжей части  ( </t>
    </r>
    <r>
      <rPr>
        <b/>
        <sz val="9"/>
        <color rgb="FFFF0000"/>
        <rFont val="Consolas"/>
        <family val="3"/>
        <charset val="204"/>
      </rPr>
      <t>без замены</t>
    </r>
    <r>
      <rPr>
        <sz val="9"/>
        <color rgb="FFFF0000"/>
        <rFont val="Consolas"/>
        <family val="3"/>
        <charset val="204"/>
      </rPr>
      <t xml:space="preserve"> </t>
    </r>
    <r>
      <rPr>
        <sz val="9"/>
        <color theme="1" tint="4.9989318521683403E-2"/>
        <rFont val="Consolas"/>
        <family val="3"/>
        <charset val="204"/>
      </rPr>
      <t>плитки, брусчатки, бордюров)</t>
    </r>
  </si>
  <si>
    <r>
      <t xml:space="preserve">ПИР, СМР (включая подготовительные работы и стоимость всех материалов),  оформление разрешительных документов, исполнительной документации, </t>
    </r>
    <r>
      <rPr>
        <sz val="9"/>
        <color rgb="FF0070C0"/>
        <rFont val="Consolas"/>
        <family val="3"/>
        <charset val="204"/>
      </rPr>
      <t>справки о выполнении ТУ от собственников инфраструктуры;</t>
    </r>
    <r>
      <rPr>
        <sz val="9"/>
        <rFont val="Consolas"/>
        <family val="3"/>
        <charset val="204"/>
      </rPr>
      <t>закрытие ордера в администрации</t>
    </r>
  </si>
  <si>
    <r>
      <rPr>
        <b/>
        <sz val="9"/>
        <color rgb="FF000000"/>
        <rFont val="Consolas"/>
        <family val="3"/>
        <charset val="204"/>
      </rPr>
      <t xml:space="preserve">Прокол </t>
    </r>
    <r>
      <rPr>
        <b/>
        <sz val="9"/>
        <color rgb="FFFF0000"/>
        <rFont val="Consolas"/>
        <family val="3"/>
        <charset val="204"/>
      </rPr>
      <t>одной полиэтиленовой</t>
    </r>
    <r>
      <rPr>
        <sz val="9"/>
        <color rgb="FF000000"/>
        <rFont val="Consolas"/>
        <family val="3"/>
        <charset val="204"/>
      </rPr>
      <t xml:space="preserve"> </t>
    </r>
    <r>
      <rPr>
        <b/>
        <sz val="9"/>
        <color rgb="FF000000"/>
        <rFont val="Consolas"/>
        <family val="3"/>
        <charset val="204"/>
      </rPr>
      <t>трубой</t>
    </r>
    <r>
      <rPr>
        <sz val="9"/>
        <color rgb="FF000000"/>
        <rFont val="Consolas"/>
        <family val="3"/>
        <charset val="204"/>
      </rPr>
      <t xml:space="preserve"> (полный комплекс работ) ***</t>
    </r>
  </si>
  <si>
    <r>
      <t xml:space="preserve">ПИР (включая предварительную рабочую документацию); СМР (включая стоимость материалов),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исполнительной документации по МР и РД</t>
    </r>
  </si>
  <si>
    <r>
      <rPr>
        <b/>
        <sz val="9"/>
        <color theme="1"/>
        <rFont val="Consolas"/>
        <family val="3"/>
        <charset val="204"/>
      </rPr>
      <t xml:space="preserve">Установка/замена опор железобетонных </t>
    </r>
    <r>
      <rPr>
        <sz val="9"/>
        <color theme="1"/>
        <rFont val="Consolas"/>
        <family val="3"/>
        <charset val="204"/>
      </rPr>
      <t>(полный комплекс работ)</t>
    </r>
  </si>
  <si>
    <r>
      <t xml:space="preserve">ПИР (включая предварительную рабочую документацию);СМР : земляные работы; </t>
    </r>
    <r>
      <rPr>
        <sz val="9"/>
        <color rgb="FF0070C0"/>
        <rFont val="Consolas"/>
        <family val="3"/>
        <charset val="204"/>
      </rPr>
      <t>подрезка крон деревьев,</t>
    </r>
    <r>
      <rPr>
        <sz val="9"/>
        <color theme="1"/>
        <rFont val="Consolas"/>
        <family val="3"/>
        <charset val="204"/>
      </rPr>
      <t xml:space="preserve">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 сдача в надзорные органы,оформление разрешительных документов,</t>
    </r>
    <r>
      <rPr>
        <sz val="9"/>
        <color rgb="FF0070C0"/>
        <rFont val="Consolas"/>
        <family val="3"/>
        <charset val="204"/>
      </rPr>
      <t>справки о выполнении ТУ от собственников инфраструктуры;</t>
    </r>
    <r>
      <rPr>
        <sz val="9"/>
        <color theme="1"/>
        <rFont val="Consolas"/>
        <family val="3"/>
        <charset val="204"/>
      </rPr>
      <t xml:space="preserve"> исполнительной документации по МР и РД. </t>
    </r>
  </si>
  <si>
    <r>
      <t>Строительство кабельной канализации</t>
    </r>
    <r>
      <rPr>
        <b/>
        <sz val="9"/>
        <color theme="1" tint="4.9989318521683403E-2"/>
        <rFont val="Consolas"/>
        <family val="3"/>
        <charset val="204"/>
      </rPr>
      <t xml:space="preserve"> (из асбестоцементных или полиэтиленовых труб)
</t>
    </r>
    <r>
      <rPr>
        <b/>
        <sz val="9"/>
        <color rgb="FFFF0000"/>
        <rFont val="Consolas"/>
        <family val="3"/>
        <charset val="204"/>
      </rPr>
      <t>до 2-х каналов ,с учетом ГНБ/проколов</t>
    </r>
    <r>
      <rPr>
        <sz val="9"/>
        <color rgb="FFFF0000"/>
        <rFont val="Consolas"/>
        <family val="3"/>
        <charset val="204"/>
      </rPr>
      <t xml:space="preserve"> (при строительстве пролётов канализации и переходов методом ГНБ, кол-во и диаметр труб должен соотвествовать аналогичным параметрам кабельной канализации)</t>
    </r>
  </si>
  <si>
    <r>
      <t>ПИР (включая предварительную рабочую документацию,заказ и оплату схемы направления трассы); СМР,</t>
    </r>
    <r>
      <rPr>
        <sz val="9"/>
        <color theme="1" tint="4.9989318521683403E-2"/>
        <rFont val="Consolas"/>
        <family val="3"/>
        <charset val="204"/>
      </rPr>
      <t xml:space="preserve"> </t>
    </r>
    <r>
      <rPr>
        <sz val="9"/>
        <color rgb="FFFF0000"/>
        <rFont val="Consolas"/>
        <family val="3"/>
        <charset val="204"/>
      </rPr>
      <t xml:space="preserve">включая стоимость всех материалов; </t>
    </r>
    <r>
      <rPr>
        <sz val="9"/>
        <color theme="1" tint="4.9989318521683403E-2"/>
        <rFont val="Consolas"/>
        <family val="3"/>
        <charset val="204"/>
      </rPr>
      <t xml:space="preserve">установку/перебивку  колодцев ККС </t>
    </r>
    <r>
      <rPr>
        <sz val="9"/>
        <color rgb="FFFF0000"/>
        <rFont val="Consolas"/>
        <family val="3"/>
        <charset val="204"/>
      </rPr>
      <t>( включая  стоимость колодцев ,</t>
    </r>
    <r>
      <rPr>
        <sz val="9"/>
        <color theme="1" tint="4.9989318521683403E-2"/>
        <rFont val="Consolas"/>
        <family val="3"/>
        <charset val="204"/>
      </rPr>
      <t xml:space="preserve">с учетом  разновидностей по вертикальной нагрузке), оснастки ( кронштейны и консоли из расчёта по 2 кронштейна на продольную стену с 1 консолью типа ККЧ-3 каждый), люков (тяжелых,нижняя крышка, верхняя крышка на шарнире,с запорным устройством), труб и комплектующих- из расчета средней длины пролета между колодцами </t>
    </r>
    <r>
      <rPr>
        <b/>
        <sz val="9"/>
        <color rgb="FFFF0000"/>
        <rFont val="Consolas"/>
        <family val="3"/>
        <charset val="204"/>
      </rPr>
      <t>до 75 м</t>
    </r>
    <r>
      <rPr>
        <sz val="9"/>
        <color theme="1" tint="4.9989318521683403E-2"/>
        <rFont val="Consolas"/>
        <family val="3"/>
        <charset val="204"/>
      </rPr>
      <t xml:space="preserve"> на прямолинейных участках трассы,  с учетом  пролетов </t>
    </r>
    <r>
      <rPr>
        <b/>
        <sz val="9"/>
        <color rgb="FFFF0000"/>
        <rFont val="Consolas"/>
        <family val="3"/>
        <charset val="204"/>
      </rPr>
      <t>до 25 м.</t>
    </r>
    <r>
      <rPr>
        <sz val="9"/>
        <color theme="1" tint="4.9989318521683403E-2"/>
        <rFont val="Consolas"/>
        <family val="3"/>
        <charset val="204"/>
      </rPr>
      <t xml:space="preserve"> на переходах и поворотах трассы;</t>
    </r>
    <r>
      <rPr>
        <sz val="9"/>
        <rFont val="Consolas"/>
        <family val="3"/>
        <charset val="204"/>
      </rPr>
      <t xml:space="preserve"> восстановления асфальтобетонных и плиточных покрытий проезжей части, тротуаров и работ по благоустройству, рекультивации земель,  получение разрешений;заказ и оплату всех видов ТУ;земляные работы;пробивку и заделку отверстий в стенах и фундаментах зданий с обустройством приямков при необходимости (обустройство кабельных вводов).</t>
    </r>
    <r>
      <rPr>
        <sz val="9"/>
        <color theme="1" tint="4.9989318521683403E-2"/>
        <rFont val="Consolas"/>
        <family val="3"/>
        <charset val="204"/>
      </rPr>
      <t>Земельное дело, заказ и оплата топосъемки и согласований (при строительстве),заказ и оплата топосъемки исполнительной,оформление охранных зон линий связи, сдача в надзорные органы, постановка на кадастровый учет.</t>
    </r>
    <r>
      <rPr>
        <sz val="9"/>
        <rFont val="Consolas"/>
        <family val="3"/>
        <charset val="204"/>
      </rPr>
      <t xml:space="preserve">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 xml:space="preserve"> и исполнительной документации по МР и РД.                                                                                                                              </t>
    </r>
    <r>
      <rPr>
        <i/>
        <sz val="9"/>
        <rFont val="Consolas"/>
        <family val="3"/>
        <charset val="204"/>
      </rPr>
      <t xml:space="preserve">Стоимость строительства кабельной канализации  из полиэтиленовых труб рассчитана для труб </t>
    </r>
    <r>
      <rPr>
        <i/>
        <sz val="9"/>
        <color rgb="FFFF0000"/>
        <rFont val="Consolas"/>
        <family val="3"/>
        <charset val="204"/>
      </rPr>
      <t>Д=110мм.</t>
    </r>
    <r>
      <rPr>
        <i/>
        <sz val="9"/>
        <rFont val="Consolas"/>
        <family val="3"/>
        <charset val="204"/>
      </rPr>
      <t xml:space="preserve"> В случае строительства кабельной канализации с применением труб </t>
    </r>
    <r>
      <rPr>
        <i/>
        <sz val="9"/>
        <color rgb="FFFF0000"/>
        <rFont val="Consolas"/>
        <family val="3"/>
        <charset val="204"/>
      </rPr>
      <t>Д=63мм</t>
    </r>
    <r>
      <rPr>
        <i/>
        <sz val="9"/>
        <rFont val="Consolas"/>
        <family val="3"/>
        <charset val="204"/>
      </rPr>
      <t xml:space="preserve">  применять понижающий коэффициент к расценке  905</t>
    </r>
    <r>
      <rPr>
        <i/>
        <sz val="9"/>
        <color rgb="FFFF0000"/>
        <rFont val="Consolas"/>
        <family val="3"/>
        <charset val="204"/>
      </rPr>
      <t xml:space="preserve"> к= 0,94 </t>
    </r>
  </si>
  <si>
    <r>
      <rPr>
        <b/>
        <sz val="9"/>
        <rFont val="Consolas"/>
        <family val="3"/>
        <charset val="204"/>
      </rPr>
      <t xml:space="preserve">Докладка дополнительного канала кабельной канализации  </t>
    </r>
    <r>
      <rPr>
        <sz val="9"/>
        <rFont val="Consolas"/>
        <family val="3"/>
        <charset val="204"/>
      </rPr>
      <t xml:space="preserve"> (при строительстве, к существующей канализации)</t>
    </r>
  </si>
  <si>
    <r>
      <rPr>
        <sz val="9"/>
        <color theme="1" tint="4.9989318521683403E-2"/>
        <rFont val="Consolas"/>
        <family val="3"/>
        <charset val="204"/>
      </rPr>
      <t>ПИР; СМР, включая стоимость материалов, восстановления асфальтобетонных и плиточных покрытий проезжей части, тротуаров и работ по благоустройству;</t>
    </r>
    <r>
      <rPr>
        <sz val="9"/>
        <rFont val="Consolas"/>
        <family val="3"/>
        <charset val="204"/>
      </rPr>
      <t xml:space="preserve"> рекультивации земель; получение разрешений;заказ и оплату всех видов ТУ; земляные работы; земельное дело, заказ и оплата топосъемки и согласований (при строительстве),заказ и оплата топосъемки исполнительной (при необходимости);оформление охранных зон линий связи; сдача в надзорные органы, постановка на кадастровый учёт ( если необходимо). Оформление разрешительных документов,</t>
    </r>
    <r>
      <rPr>
        <sz val="9"/>
        <color rgb="FF0070C0"/>
        <rFont val="Consolas"/>
        <family val="3"/>
        <charset val="204"/>
      </rPr>
      <t xml:space="preserve">справки о выполнении ТУ от собственников инфраструктуры </t>
    </r>
    <r>
      <rPr>
        <sz val="9"/>
        <rFont val="Consolas"/>
        <family val="3"/>
        <charset val="204"/>
      </rPr>
      <t>и исполнительной документации по МР и РД.</t>
    </r>
  </si>
  <si>
    <r>
      <rPr>
        <b/>
        <sz val="9"/>
        <color theme="1"/>
        <rFont val="Consolas"/>
        <family val="3"/>
        <charset val="204"/>
      </rPr>
      <t>Восстановление поврежденного канала кабельной канализации</t>
    </r>
    <r>
      <rPr>
        <sz val="9"/>
        <color theme="1"/>
        <rFont val="Consolas"/>
        <family val="3"/>
        <charset val="204"/>
      </rPr>
      <t xml:space="preserve">
</t>
    </r>
    <r>
      <rPr>
        <i/>
        <sz val="9"/>
        <color theme="1"/>
        <rFont val="Consolas"/>
        <family val="3"/>
        <charset val="204"/>
      </rPr>
      <t xml:space="preserve">Расценка применяется при условии, что объем восстановления кабельной канализации составит </t>
    </r>
    <r>
      <rPr>
        <b/>
        <i/>
        <sz val="9"/>
        <color rgb="FFFF0000"/>
        <rFont val="Consolas"/>
        <family val="3"/>
        <charset val="204"/>
      </rPr>
      <t>не более 10% от длины пролета.</t>
    </r>
    <r>
      <rPr>
        <b/>
        <i/>
        <sz val="9"/>
        <color theme="1"/>
        <rFont val="Consolas"/>
        <family val="3"/>
        <charset val="204"/>
      </rPr>
      <t xml:space="preserve"> </t>
    </r>
    <r>
      <rPr>
        <i/>
        <sz val="9"/>
        <color theme="1"/>
        <rFont val="Consolas"/>
        <family val="3"/>
        <charset val="204"/>
      </rPr>
      <t xml:space="preserve">
При превышении порога </t>
    </r>
    <r>
      <rPr>
        <b/>
        <i/>
        <sz val="9"/>
        <color rgb="FFFF0000"/>
        <rFont val="Consolas"/>
        <family val="3"/>
        <charset val="204"/>
      </rPr>
      <t xml:space="preserve">10% </t>
    </r>
    <r>
      <rPr>
        <i/>
        <sz val="9"/>
        <color theme="1"/>
        <rFont val="Consolas"/>
        <family val="3"/>
        <charset val="204"/>
      </rPr>
      <t xml:space="preserve">применяется </t>
    </r>
    <r>
      <rPr>
        <i/>
        <sz val="9"/>
        <color rgb="FFFF0000"/>
        <rFont val="Consolas"/>
        <family val="3"/>
        <charset val="204"/>
      </rPr>
      <t xml:space="preserve">УР№ 905 </t>
    </r>
    <r>
      <rPr>
        <i/>
        <sz val="9"/>
        <color theme="1"/>
        <rFont val="Consolas"/>
        <family val="3"/>
        <charset val="204"/>
      </rPr>
      <t>на прокладку кабельной канализации.</t>
    </r>
  </si>
  <si>
    <r>
      <t xml:space="preserve">ПИР; СМР, включая стоимость материалов, восстановления асфальтобетонных покрытий проезжей части, тротуаров и работ по благоустройству, рекультивации земель, оформление разрешительных документов и исполнительной документации по МР и РД.
</t>
    </r>
    <r>
      <rPr>
        <sz val="9"/>
        <color rgb="FFFF0000"/>
        <rFont val="Consolas"/>
        <family val="3"/>
        <charset val="204"/>
      </rPr>
      <t>Примечание: УР № 907 не применяется совместно с УР №№ 103; 200.1÷200.4; 300.1÷300.8; 415.1÷415.4; 501.</t>
    </r>
  </si>
  <si>
    <r>
      <rPr>
        <b/>
        <sz val="9"/>
        <color rgb="FF000000"/>
        <rFont val="Consolas"/>
        <family val="3"/>
        <charset val="204"/>
      </rPr>
      <t>Установка колодца ККС (полный комплекс работ)</t>
    </r>
    <r>
      <rPr>
        <sz val="9"/>
        <color rgb="FF000000"/>
        <rFont val="Consolas"/>
        <family val="3"/>
        <charset val="204"/>
      </rPr>
      <t xml:space="preserve"> ( </t>
    </r>
    <r>
      <rPr>
        <sz val="9"/>
        <color rgb="FFFF0000"/>
        <rFont val="Consolas"/>
        <family val="3"/>
        <charset val="204"/>
      </rPr>
      <t>любой тип и разновидность ККС</t>
    </r>
    <r>
      <rPr>
        <sz val="9"/>
        <color rgb="FF000000"/>
        <rFont val="Consolas"/>
        <family val="3"/>
        <charset val="204"/>
      </rPr>
      <t>, оснастка (кронштейны,консоли из расчёта по 2 кронштейна на продольной стене с консолью ККЧ-3 каждый), люк из чугуна с нижней крышкой, шарнирной верхней крышкой и запорным устройством)</t>
    </r>
  </si>
  <si>
    <r>
      <t>ПИР (включая предварительную рабочую документацию), СМР (</t>
    </r>
    <r>
      <rPr>
        <sz val="9"/>
        <color rgb="FFFF0000"/>
        <rFont val="Consolas"/>
        <family val="3"/>
        <charset val="204"/>
      </rPr>
      <t>включая стоимость всех материалов</t>
    </r>
    <r>
      <rPr>
        <sz val="9"/>
        <color theme="1" tint="4.9989318521683403E-2"/>
        <rFont val="Consolas"/>
        <family val="3"/>
        <charset val="204"/>
      </rPr>
      <t>),</t>
    </r>
    <r>
      <rPr>
        <sz val="9"/>
        <color rgb="FF0070C0"/>
        <rFont val="Consolas"/>
        <family val="3"/>
        <charset val="204"/>
      </rPr>
      <t xml:space="preserve">гидроизоляция,восстановление зелёных зон, проезжей части и пешеходных дорожек, </t>
    </r>
    <r>
      <rPr>
        <sz val="9"/>
        <color theme="1" tint="4.9989318521683403E-2"/>
        <rFont val="Consolas"/>
        <family val="3"/>
        <charset val="204"/>
      </rPr>
      <t xml:space="preserve"> земельное дело, топосъемка и согласования (при строительстве),топосъемка исполнительная,сдача в надзорные органы, оформление охранных зон линий связи, постановка на кадастровый учёт,оформление разрешительных документов, </t>
    </r>
    <r>
      <rPr>
        <sz val="9"/>
        <color rgb="FF0070C0"/>
        <rFont val="Consolas"/>
        <family val="3"/>
        <charset val="204"/>
      </rPr>
      <t>справки о выполнении ТУ от собственников инфраструктуры,</t>
    </r>
    <r>
      <rPr>
        <sz val="9"/>
        <color theme="1" tint="4.9989318521683403E-2"/>
        <rFont val="Consolas"/>
        <family val="3"/>
        <charset val="204"/>
      </rPr>
      <t xml:space="preserve">исполнительной документации по МР и РД. </t>
    </r>
    <r>
      <rPr>
        <sz val="9"/>
        <color rgb="FFFF0000"/>
        <rFont val="Consolas"/>
        <family val="3"/>
        <charset val="204"/>
      </rPr>
      <t>Для применения в качестве вводных колодцев; в стесненных городских или иных условиях как исключение</t>
    </r>
  </si>
  <si>
    <r>
      <t>ПИР (включая предварительную рабочую документацию), СМР (</t>
    </r>
    <r>
      <rPr>
        <sz val="9"/>
        <color rgb="FFFF0000"/>
        <rFont val="Consolas"/>
        <family val="3"/>
        <charset val="204"/>
      </rPr>
      <t>включая стоимость всех материалов</t>
    </r>
    <r>
      <rPr>
        <sz val="9"/>
        <color theme="1" tint="4.9989318521683403E-2"/>
        <rFont val="Consolas"/>
        <family val="3"/>
        <charset val="204"/>
      </rPr>
      <t>),</t>
    </r>
    <r>
      <rPr>
        <sz val="9"/>
        <color rgb="FF0070C0"/>
        <rFont val="Consolas"/>
        <family val="3"/>
        <charset val="204"/>
      </rPr>
      <t xml:space="preserve">гидроизоляция,восстановление зелёных зон, проезжей части и пешеходных дорожек, </t>
    </r>
    <r>
      <rPr>
        <sz val="9"/>
        <color theme="1" tint="4.9989318521683403E-2"/>
        <rFont val="Consolas"/>
        <family val="3"/>
        <charset val="204"/>
      </rPr>
      <t xml:space="preserve"> земельное дело, топосъемка и согласования (при строительстве),топосъемка исполнительная,сдача в надзорные органы, оформление охранных зон линий связи, постановка на кадастровый учёт,оформление разрешительных документов, </t>
    </r>
    <r>
      <rPr>
        <sz val="9"/>
        <color rgb="FF0070C0"/>
        <rFont val="Consolas"/>
        <family val="3"/>
        <charset val="204"/>
      </rPr>
      <t>справки о выполнении ТУ от собственников инфраструктуры,</t>
    </r>
    <r>
      <rPr>
        <sz val="9"/>
        <color theme="1" tint="4.9989318521683403E-2"/>
        <rFont val="Consolas"/>
        <family val="3"/>
        <charset val="204"/>
      </rPr>
      <t>исполнительной документации по МР и РД.</t>
    </r>
  </si>
  <si>
    <r>
      <t>Установка/замена  опор (</t>
    </r>
    <r>
      <rPr>
        <b/>
        <sz val="9"/>
        <color rgb="FF000000"/>
        <rFont val="Consolas"/>
        <family val="3"/>
        <charset val="204"/>
      </rPr>
      <t>деревянных пропитанных, на железобетонных приставках (сваях</t>
    </r>
    <r>
      <rPr>
        <sz val="9"/>
        <color rgb="FF000000"/>
        <rFont val="Consolas"/>
        <family val="3"/>
        <charset val="204"/>
      </rPr>
      <t>) (полный комплекс работ)</t>
    </r>
  </si>
  <si>
    <t>Установка колодца типа ККТМ-1 на существующей кабельной канализации в сегменте малоэтажной застройки, коттеджных посёлках (люк из чугуна с нижней крышкой, шарнирной верхней крышкой и запорным устройством)</t>
  </si>
  <si>
    <r>
      <rPr>
        <b/>
        <sz val="9"/>
        <color theme="1" tint="4.9989318521683403E-2"/>
        <rFont val="Consolas"/>
        <family val="3"/>
        <charset val="204"/>
      </rPr>
      <t>Строительство сетей абонентского доступа по технологии КТВ</t>
    </r>
    <r>
      <rPr>
        <sz val="9"/>
        <color theme="1" tint="4.9989318521683403E-2"/>
        <rFont val="Consolas"/>
        <family val="3"/>
        <charset val="204"/>
      </rPr>
      <t xml:space="preserve"> </t>
    </r>
    <r>
      <rPr>
        <b/>
        <sz val="9"/>
        <color rgb="FFFF0000"/>
        <rFont val="Consolas"/>
        <family val="3"/>
        <charset val="204"/>
      </rPr>
      <t>в сегменте стандартного жилья,малоэтажного жилья и новостроек*</t>
    </r>
    <r>
      <rPr>
        <sz val="9"/>
        <color theme="1" tint="4.9989318521683403E-2"/>
        <rFont val="Consolas"/>
        <family val="3"/>
        <charset val="204"/>
      </rPr>
      <t xml:space="preserve"> :</t>
    </r>
  </si>
  <si>
    <r>
      <t xml:space="preserve">КТВ стандартное строительство в домах с ДРС для сети кабельного телевидения </t>
    </r>
    <r>
      <rPr>
        <sz val="9"/>
        <color rgb="FFFF0000"/>
        <rFont val="Consolas"/>
        <family val="3"/>
        <charset val="204"/>
      </rPr>
      <t xml:space="preserve">(наложенная технология) </t>
    </r>
  </si>
  <si>
    <r>
      <t xml:space="preserve">для Домохозяйств, охваченных по технологии КТВ с проникновением  </t>
    </r>
    <r>
      <rPr>
        <b/>
        <sz val="9"/>
        <color rgb="FFFF0000"/>
        <rFont val="Consolas"/>
        <family val="3"/>
        <charset val="204"/>
      </rPr>
      <t>от</t>
    </r>
    <r>
      <rPr>
        <sz val="9"/>
        <color rgb="FFFF0000"/>
        <rFont val="Consolas"/>
        <family val="3"/>
        <charset val="204"/>
      </rPr>
      <t xml:space="preserve"> </t>
    </r>
    <r>
      <rPr>
        <b/>
        <sz val="9"/>
        <color rgb="FFFF0000"/>
        <rFont val="Consolas"/>
        <family val="3"/>
        <charset val="204"/>
      </rPr>
      <t xml:space="preserve">30% </t>
    </r>
    <r>
      <rPr>
        <sz val="9"/>
        <color theme="1" tint="4.9989318521683403E-2"/>
        <rFont val="Consolas"/>
        <family val="3"/>
        <charset val="204"/>
      </rPr>
      <t>(строительство ДРС СКТВ с прокладкой RG)</t>
    </r>
  </si>
  <si>
    <r>
      <t xml:space="preserve">ПИР;полный комплекс СМР (включая стоимость материалов и вспомогательного оборудования,  монтажа АК, делителей, ответвителей, нагрузок, шнуров, сплиттеров,монтажа активного оборудования (оптические приемники), прочих затрат;оформление разрешительных документов (включая все согласования) необходимых при строительстве ДРС КТВ, исполнительной документации по МР, </t>
    </r>
    <r>
      <rPr>
        <sz val="9"/>
        <color rgb="FFFF0000"/>
        <rFont val="Consolas"/>
        <family val="3"/>
        <charset val="204"/>
      </rPr>
      <t>без учета стоимости оптического приемника КТВ</t>
    </r>
  </si>
  <si>
    <r>
      <t xml:space="preserve">для Домохозяйств, охваченных по технологии КТВ с проникновением </t>
    </r>
    <r>
      <rPr>
        <sz val="9"/>
        <color rgb="FFFF0000"/>
        <rFont val="Consolas"/>
        <family val="3"/>
        <charset val="204"/>
      </rPr>
      <t xml:space="preserve"> </t>
    </r>
    <r>
      <rPr>
        <b/>
        <sz val="9"/>
        <color rgb="FFFF0000"/>
        <rFont val="Consolas"/>
        <family val="3"/>
        <charset val="204"/>
      </rPr>
      <t>от</t>
    </r>
    <r>
      <rPr>
        <sz val="9"/>
        <color rgb="FFFF0000"/>
        <rFont val="Consolas"/>
        <family val="3"/>
        <charset val="204"/>
      </rPr>
      <t xml:space="preserve"> </t>
    </r>
    <r>
      <rPr>
        <b/>
        <sz val="9"/>
        <color rgb="FFFF0000"/>
        <rFont val="Consolas"/>
        <family val="3"/>
        <charset val="204"/>
      </rPr>
      <t xml:space="preserve">30 % </t>
    </r>
    <r>
      <rPr>
        <sz val="9"/>
        <color theme="1" tint="4.9989318521683403E-2"/>
        <rFont val="Consolas"/>
        <family val="3"/>
        <charset val="204"/>
      </rPr>
      <t>(строительство ДРС СКТВ с прокладкой RG)</t>
    </r>
  </si>
  <si>
    <r>
      <rPr>
        <b/>
        <sz val="9"/>
        <color rgb="FF000000"/>
        <rFont val="Consolas"/>
        <family val="3"/>
        <charset val="204"/>
      </rPr>
      <t>Установка трубостойки (слаботочного стояка) в подъезде</t>
    </r>
    <r>
      <rPr>
        <sz val="9"/>
        <color rgb="FF000000"/>
        <rFont val="Consolas"/>
        <family val="3"/>
        <charset val="204"/>
      </rPr>
      <t xml:space="preserve"> (с учетом стоимости труб, крепежа, установки проходных коробок, сопутствующих СМР)</t>
    </r>
  </si>
  <si>
    <r>
      <t xml:space="preserve">ПИР (включая предварительную рабочую документацию);СМР, </t>
    </r>
    <r>
      <rPr>
        <sz val="9"/>
        <color rgb="FFFF0000"/>
        <rFont val="Consolas"/>
        <family val="3"/>
        <charset val="204"/>
      </rPr>
      <t>включая стоимость всех материалов</t>
    </r>
    <r>
      <rPr>
        <sz val="9"/>
        <rFont val="Consolas"/>
        <family val="3"/>
        <charset val="204"/>
      </rPr>
      <t>, включая пробивку и заделку отверстий;установку гильз в перекрытиях; соединение трубостоек; восстановление отделки поверхностей в доме, наклейки на трубостойки; прочие затраты, все необходимые согласования и разрешения;</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;исполнительная документация по МР</t>
    </r>
  </si>
  <si>
    <r>
      <rPr>
        <sz val="9"/>
        <color rgb="FFFF0000"/>
        <rFont val="Consolas"/>
        <family val="3"/>
        <charset val="204"/>
      </rPr>
      <t xml:space="preserve">до </t>
    </r>
    <r>
      <rPr>
        <b/>
        <sz val="9"/>
        <color rgb="FFFF0000"/>
        <rFont val="Consolas"/>
        <family val="3"/>
        <charset val="204"/>
      </rPr>
      <t>12U</t>
    </r>
    <r>
      <rPr>
        <b/>
        <sz val="9"/>
        <rFont val="Consolas"/>
        <family val="3"/>
        <charset val="204"/>
      </rPr>
      <t xml:space="preserve"> </t>
    </r>
    <r>
      <rPr>
        <sz val="9"/>
        <rFont val="Consolas"/>
        <family val="3"/>
        <charset val="204"/>
      </rPr>
      <t>(в том числе ШР-1200, ШР-2400)</t>
    </r>
  </si>
  <si>
    <t xml:space="preserve">до 24U </t>
  </si>
  <si>
    <t xml:space="preserve">до 48U </t>
  </si>
  <si>
    <r>
      <t xml:space="preserve">ПИР;СМР, включая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(при необходимости), стоимость монтажных материалов,имиджевые наклейки и бирки на кабель. </t>
    </r>
    <r>
      <rPr>
        <sz val="9"/>
        <color rgb="FFFF0000"/>
        <rFont val="Consolas"/>
        <family val="3"/>
        <charset val="204"/>
      </rPr>
      <t xml:space="preserve">Не включено:  стоимость  шкафа,  монтаж и стоимость активного оборудования </t>
    </r>
  </si>
  <si>
    <r>
      <rPr>
        <b/>
        <sz val="9"/>
        <rFont val="Consolas"/>
        <family val="3"/>
        <charset val="204"/>
      </rPr>
      <t>Монтаж телекоммуникационного  оборудования на станционной или линейной стороне</t>
    </r>
    <r>
      <rPr>
        <sz val="9"/>
        <rFont val="Consolas"/>
        <family val="3"/>
        <charset val="204"/>
      </rPr>
      <t xml:space="preserve">  (коммутатор, шлюз, мультиплексор, OLT и проч.)  </t>
    </r>
  </si>
  <si>
    <r>
      <t>ПИР;СМР,  включая прочие затраты; исполнительная документация, при этом включено (не ограничиваясь этим): монтаж коммутатора, шлюза, мультиплексора, OLT или другого подобного оборудования,  электромонтажные работы (при необходимости),  стоимость силового кабеля (при необходимости) и монтажных материалов,бирки на кабель.</t>
    </r>
    <r>
      <rPr>
        <sz val="9"/>
        <color rgb="FFFF0000"/>
        <rFont val="Consolas"/>
        <family val="3"/>
        <charset val="204"/>
      </rPr>
      <t xml:space="preserve"> Не включено:  стоимость  активного оборудования, монтаж и стоимость стойки, шкафа</t>
    </r>
  </si>
  <si>
    <r>
      <t xml:space="preserve">ПИР;СМР: установка коммутатора  доступа, VoIP шлюза до 48 портов FXO/ FXS, ОРШ (сплиттер 1:32), платы расширения, коммутатора агрегации, оптического мультиплексора (4хЕ1, 2хFE), медиаконвертера, ИБП. СМР, ПНР, </t>
    </r>
    <r>
      <rPr>
        <sz val="9"/>
        <color rgb="FFFF0000"/>
        <rFont val="Consolas"/>
        <family val="3"/>
        <charset val="204"/>
      </rPr>
      <t>включая включая монтаж SFP и стоимость материалов и кабеля</t>
    </r>
    <r>
      <rPr>
        <sz val="9"/>
        <rFont val="Consolas"/>
        <family val="3"/>
        <charset val="204"/>
      </rPr>
      <t xml:space="preserve">, </t>
    </r>
    <r>
      <rPr>
        <sz val="9"/>
        <color rgb="FFFF0000"/>
        <rFont val="Consolas"/>
        <family val="3"/>
        <charset val="204"/>
      </rPr>
      <t>без учета стоимости оборудования</t>
    </r>
    <r>
      <rPr>
        <sz val="9"/>
        <rFont val="Consolas"/>
        <family val="3"/>
        <charset val="204"/>
      </rPr>
      <t>. Монтаж оборудования   в существующую стойку (шкаф), подключение  электропитания от существующего источника питания;  подключение к каналообразующему оборудованию.  Оформление разрешительных документов, исполнительной документации.</t>
    </r>
  </si>
  <si>
    <r>
      <t xml:space="preserve">СМР: установка  коммутатора  доступа на 24 порта и патч-панели на 24 порта в существующий шкаф,  </t>
    </r>
    <r>
      <rPr>
        <sz val="9"/>
        <color rgb="FFFF0000"/>
        <rFont val="Consolas"/>
        <family val="3"/>
        <charset val="204"/>
      </rPr>
      <t>включая монтаж SFP и стоимость материалов и кабеля</t>
    </r>
    <r>
      <rPr>
        <sz val="9"/>
        <rFont val="Consolas"/>
        <family val="3"/>
        <charset val="204"/>
      </rPr>
      <t xml:space="preserve">, </t>
    </r>
    <r>
      <rPr>
        <sz val="9"/>
        <color rgb="FFFF0000"/>
        <rFont val="Consolas"/>
        <family val="3"/>
        <charset val="204"/>
      </rPr>
      <t>без учета стоимости оборудования</t>
    </r>
    <r>
      <rPr>
        <sz val="9"/>
        <rFont val="Consolas"/>
        <family val="3"/>
        <charset val="204"/>
      </rPr>
      <t>, подключение  электропитания от существующего источника питания;  подключение к сети передачи данных.  Оформление  разрешительных документов, исполнительной документации.</t>
    </r>
  </si>
  <si>
    <r>
      <t xml:space="preserve">СМР, Прочие затраты, не ограничиваясь перечисленным: установка  коммутатора  доступа/СПВ-конвертера, патч-панели в существующий шкаф,  </t>
    </r>
    <r>
      <rPr>
        <sz val="9"/>
        <color rgb="FFFF0000"/>
        <rFont val="Consolas"/>
        <family val="3"/>
        <charset val="204"/>
      </rPr>
      <t>включая монтаж SFP и стоимость материалов и кабеля, без учета стоимости оборудования</t>
    </r>
    <r>
      <rPr>
        <sz val="9"/>
        <rFont val="Consolas"/>
        <family val="3"/>
        <charset val="204"/>
      </rPr>
      <t>, подключение  электропитания от существующего источника питания;  подключение к сети передачи данных.  Оформление исполнительной документации.</t>
    </r>
  </si>
  <si>
    <r>
      <t>ПИР;СМР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 с оформлением комплекта документов). Прочие: заказ и оплата топосъемки        ( для строительства и исполнительной), оформление разрешительных документов; постановка на кадастровый учёт;</t>
    </r>
    <r>
      <rPr>
        <sz val="9"/>
        <color rgb="FF0070C0"/>
        <rFont val="Consolas"/>
        <family val="3"/>
        <charset val="204"/>
      </rPr>
      <t xml:space="preserve"> справки о выполнении ТУ от собственников инфраструктуры;</t>
    </r>
    <r>
      <rPr>
        <sz val="9"/>
        <rFont val="Consolas"/>
        <family val="3"/>
        <charset val="204"/>
      </rPr>
      <t>оформление исполнительной документации по МР и РД;  ПНР.</t>
    </r>
  </si>
  <si>
    <r>
      <t xml:space="preserve">ПИР; 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(при необходимости, соформлением комплекта документов). Прочие:  заказ и оплата топосъемки (при необходимости) для строительства,исполнительной топосъемки; постановка на кадастровый учёт;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оформление исполнительной документации по МР и РД;  ПНР.</t>
    </r>
  </si>
  <si>
    <r>
      <t>ПИР; СМР (</t>
    </r>
    <r>
      <rPr>
        <sz val="9"/>
        <color rgb="FFFF0000"/>
        <rFont val="Consolas"/>
        <family val="3"/>
        <charset val="204"/>
      </rPr>
      <t>включая стоимость всех материалов</t>
    </r>
    <r>
      <rPr>
        <sz val="9"/>
        <rFont val="Consolas"/>
        <family val="3"/>
        <charset val="204"/>
      </rPr>
      <t>: щита (шкафа,бокса), шины заземления, запорного устройства, имиджевых наклеек, внутренней оснастки для крепления оконечных устройств (рам/опор с плинтами, патч-панелей, ТАН, сплиттеров и др.); включая прочие затраты, в том числе и не ограничиваясь этим: монтаж щита на лестничных площадках, этажах, помещениях и т.д.; устройство заземления щита и внутренних элементов;  восстановление целостности и отделки поверхностей после монтажа щита и заземления,  прочие: оформление разрешительных документов; оформление документов, подтверждающих право собственности Заказчика на смонтированное оборудование у Застройщика или УК; оформление исполнительной документации по МР и РД.</t>
    </r>
  </si>
  <si>
    <r>
      <t>ПИР, СМР, обследование конструкций, не ограничиваясь перечисленным (включая стоимость материалов): разборка покрытия кровли, крепление трубостойки к существующим конструкциям здания, антикоррозионная обработка конструкций, гидроизоляция кровли, восстановление покрытия кровли. Оформление  разрешительных документов,</t>
    </r>
    <r>
      <rPr>
        <sz val="9"/>
        <color rgb="FF0070C0"/>
        <rFont val="Consolas"/>
        <family val="3"/>
        <charset val="204"/>
      </rPr>
      <t>справки о выполнении ТУ от собственников инфраструктуры</t>
    </r>
    <r>
      <rPr>
        <sz val="9"/>
        <rFont val="Consolas"/>
        <family val="3"/>
        <charset val="204"/>
      </rPr>
      <t xml:space="preserve"> и исполнительной документации.   </t>
    </r>
  </si>
  <si>
    <r>
      <rPr>
        <b/>
        <sz val="9"/>
        <color rgb="FF000000"/>
        <rFont val="Consolas"/>
        <family val="3"/>
        <charset val="204"/>
      </rPr>
      <t xml:space="preserve">Установка стояка </t>
    </r>
    <r>
      <rPr>
        <sz val="9"/>
        <color rgb="FF000000"/>
        <rFont val="Consolas"/>
        <family val="3"/>
        <charset val="204"/>
      </rPr>
      <t>из стальных труб диаметром 60 мм</t>
    </r>
  </si>
  <si>
    <r>
      <rPr>
        <b/>
        <sz val="9"/>
        <rFont val="Consolas"/>
        <family val="3"/>
        <charset val="204"/>
      </rPr>
      <t>Монтаж дополнительного коммутатора доступа (в том числе коммутатора РОЕ)/СПВ-конвертера</t>
    </r>
    <r>
      <rPr>
        <sz val="9"/>
        <rFont val="Consolas"/>
        <family val="3"/>
        <charset val="204"/>
      </rPr>
      <t xml:space="preserve"> в ранее установленный шкаф в узле доступа для реализации дополнительных услуг</t>
    </r>
  </si>
  <si>
    <r>
      <rPr>
        <b/>
        <sz val="9"/>
        <rFont val="Consolas"/>
        <family val="3"/>
        <charset val="204"/>
      </rPr>
      <t>Монтаж второго и каждого последующего коммутатора доступа в существующий телекоммуникационный шкаф в узле доступа</t>
    </r>
    <r>
      <rPr>
        <sz val="9"/>
        <color rgb="FFFF0000"/>
        <rFont val="Consolas"/>
        <family val="3"/>
        <charset val="204"/>
      </rPr>
      <t xml:space="preserve"> (только при реконструкции/модернизации сетей FTTB) </t>
    </r>
  </si>
  <si>
    <r>
      <t>Монтаж оборудования в существующий телекоммуникационный шкаф при необходимости комплектации второго и каждого последующего телекоммуникационного шкафа</t>
    </r>
    <r>
      <rPr>
        <b/>
        <sz val="9"/>
        <color rgb="FFFF0000"/>
        <rFont val="Consolas"/>
        <family val="3"/>
        <charset val="204"/>
      </rPr>
      <t xml:space="preserve"> </t>
    </r>
    <r>
      <rPr>
        <sz val="9"/>
        <color rgb="FFFF0000"/>
        <rFont val="Consolas"/>
        <family val="3"/>
        <charset val="204"/>
      </rPr>
      <t>(только при реконструкции/модернизации сетей FTTB)</t>
    </r>
  </si>
  <si>
    <t xml:space="preserve">Монтаж слаботочного щита/межэтажного распределительного щита (шкафа, бокса, ниши) </t>
  </si>
  <si>
    <r>
      <t xml:space="preserve">Монтаж трубостоек на крыше здания для организации  воздушно-кабельных переходов
</t>
    </r>
    <r>
      <rPr>
        <sz val="9"/>
        <rFont val="Consolas"/>
        <family val="3"/>
        <charset val="204"/>
      </rPr>
      <t>(</t>
    </r>
    <r>
      <rPr>
        <sz val="9"/>
        <color rgb="FFFF0000"/>
        <rFont val="Consolas"/>
        <family val="3"/>
        <charset val="204"/>
      </rPr>
      <t>отдельно, не учитывется при подвесе кабеля)</t>
    </r>
  </si>
  <si>
    <r>
      <t xml:space="preserve">Установка автоматического выключателя 
</t>
    </r>
    <r>
      <rPr>
        <sz val="9"/>
        <color rgb="FFFF0000"/>
        <rFont val="Consolas"/>
        <family val="3"/>
        <charset val="204"/>
      </rPr>
      <t>(не применяется совместно с УР №№ 100-199)</t>
    </r>
  </si>
  <si>
    <r>
      <t xml:space="preserve">Монтаж электрического счетчика
</t>
    </r>
    <r>
      <rPr>
        <sz val="9"/>
        <color rgb="FFFF0000"/>
        <rFont val="Consolas"/>
        <family val="3"/>
        <charset val="204"/>
      </rPr>
      <t>(не применяется совместно с УР №№ 100-199)</t>
    </r>
  </si>
  <si>
    <r>
      <t>Установка автоматического выключателя (220 В,50Гц), с номинальным током 16А во вводно-распределительном устройстве здания с подключением до счетчика общедомового учёта ,</t>
    </r>
    <r>
      <rPr>
        <sz val="9"/>
        <color rgb="FFFF0000"/>
        <rFont val="Consolas"/>
        <family val="3"/>
        <charset val="204"/>
      </rPr>
      <t>с учётом стоимости автоматического выключателя и всех расходных и монтажных материалов</t>
    </r>
  </si>
  <si>
    <r>
      <t xml:space="preserve">Монтаж электрического счетчика </t>
    </r>
    <r>
      <rPr>
        <sz val="9"/>
        <color rgb="FFFF0000"/>
        <rFont val="Consolas"/>
        <family val="3"/>
        <charset val="204"/>
      </rPr>
      <t>(с учетом стоимости счетчика и всех расходных и монтажных материалов</t>
    </r>
    <r>
      <rPr>
        <sz val="9"/>
        <rFont val="Consolas"/>
        <family val="3"/>
        <charset val="204"/>
      </rPr>
      <t>),</t>
    </r>
    <r>
      <rPr>
        <sz val="9"/>
        <color rgb="FF0070C0"/>
        <rFont val="Consolas"/>
        <family val="3"/>
        <charset val="204"/>
      </rPr>
      <t>справки о выполнении ТУ от собственников инфраструктуры.</t>
    </r>
  </si>
  <si>
    <t>Обновление программного обеспечения оборудования</t>
  </si>
  <si>
    <t>СМР, включают в себя, но не ограничиваются:                                                        все материалы и затраты,в т.ч. и на  восстановление благоустройства, дорожного или тротуарного покрытия, получение необходимых согласований и  разрешительной документации,оформление исполнительной документации.</t>
  </si>
  <si>
    <r>
      <rPr>
        <b/>
        <sz val="9"/>
        <rFont val="Consolas"/>
        <family val="3"/>
        <charset val="204"/>
      </rPr>
      <t>Поднятие горловины люка телефонного колодца</t>
    </r>
    <r>
      <rPr>
        <sz val="9"/>
        <rFont val="Consolas"/>
        <family val="3"/>
        <charset val="204"/>
      </rPr>
      <t xml:space="preserve"> ж.б. кольцами до уровня дорожного покрытия. </t>
    </r>
  </si>
  <si>
    <r>
      <t xml:space="preserve">FTTB стандартное строительство в домах  (с ДРС  до подъездов и установкой КБ/КЯ/ЯР: количество определяется по % проникновения ;оконечивание кабеля (МПК и ВОК) с обеих сторон; трубостойки (стояки) устанавливаются с учетом 100 % проникновения. Нормативная длина  магистральных участков </t>
    </r>
    <r>
      <rPr>
        <sz val="9"/>
        <color rgb="FFFF0000"/>
        <rFont val="Consolas"/>
        <family val="3"/>
        <charset val="204"/>
      </rPr>
      <t>ВОЛС в кластере ШПД  до 500 м</t>
    </r>
    <r>
      <rPr>
        <sz val="9"/>
        <color theme="1" tint="4.9989318521683403E-2"/>
        <rFont val="Consolas"/>
        <family val="3"/>
        <charset val="204"/>
      </rPr>
      <t xml:space="preserve"> на один дом.</t>
    </r>
  </si>
  <si>
    <r>
      <rPr>
        <b/>
        <sz val="9"/>
        <color theme="1"/>
        <rFont val="Consolas"/>
        <family val="3"/>
        <charset val="204"/>
      </rPr>
      <t>Строительство сетей абонентского доступа по технологии FTTB</t>
    </r>
    <r>
      <rPr>
        <sz val="9"/>
        <color theme="1"/>
        <rFont val="Consolas"/>
        <family val="3"/>
        <charset val="204"/>
      </rPr>
      <t xml:space="preserve"> </t>
    </r>
    <r>
      <rPr>
        <b/>
        <sz val="9"/>
        <color rgb="FFFF0000"/>
        <rFont val="Consolas"/>
        <family val="3"/>
        <charset val="204"/>
      </rPr>
      <t>в  стандартной застройке*</t>
    </r>
    <r>
      <rPr>
        <b/>
        <sz val="9"/>
        <color theme="1"/>
        <rFont val="Consolas"/>
        <family val="3"/>
        <charset val="204"/>
      </rPr>
      <t>:</t>
    </r>
  </si>
  <si>
    <r>
      <t xml:space="preserve"> - для Домохозяйств, охваченных по технологии FTTB с проникновением  </t>
    </r>
    <r>
      <rPr>
        <b/>
        <sz val="9"/>
        <color rgb="FFFF0000"/>
        <rFont val="Consolas"/>
        <family val="3"/>
        <charset val="204"/>
      </rPr>
      <t xml:space="preserve">до 30 % </t>
    </r>
  </si>
  <si>
    <r>
      <t xml:space="preserve"> - для Домохозяйств, охваченных по технологии FTTB с проникновением  </t>
    </r>
    <r>
      <rPr>
        <b/>
        <sz val="9"/>
        <color rgb="FFFF0000"/>
        <rFont val="Consolas"/>
        <family val="3"/>
        <charset val="204"/>
      </rPr>
      <t xml:space="preserve">от 30% до 50 % </t>
    </r>
  </si>
  <si>
    <r>
      <t xml:space="preserve"> - для Домохозяйств, охваченных по технологии FTTB с проникновением  </t>
    </r>
    <r>
      <rPr>
        <b/>
        <sz val="9"/>
        <color rgb="FFFF0000"/>
        <rFont val="Consolas"/>
        <family val="3"/>
        <charset val="204"/>
      </rPr>
      <t xml:space="preserve">от 50% до 80 % </t>
    </r>
  </si>
  <si>
    <r>
      <t xml:space="preserve"> - для Домохозяйств, охваченных по технологии FTTB с проникновением  </t>
    </r>
    <r>
      <rPr>
        <b/>
        <sz val="9"/>
        <color rgb="FFFF0000"/>
        <rFont val="Consolas"/>
        <family val="3"/>
        <charset val="204"/>
      </rPr>
      <t xml:space="preserve">выше 80 % </t>
    </r>
  </si>
  <si>
    <r>
      <rPr>
        <b/>
        <sz val="9"/>
        <color theme="1"/>
        <rFont val="Consolas"/>
        <family val="3"/>
        <charset val="204"/>
      </rPr>
      <t>Строительство сетей абонентского доступа по технологии FTTB</t>
    </r>
    <r>
      <rPr>
        <sz val="9"/>
        <color theme="1"/>
        <rFont val="Consolas"/>
        <family val="3"/>
        <charset val="204"/>
      </rPr>
      <t xml:space="preserve"> </t>
    </r>
    <r>
      <rPr>
        <b/>
        <sz val="9"/>
        <color rgb="FFFF0000"/>
        <rFont val="Consolas"/>
        <family val="3"/>
        <charset val="204"/>
      </rPr>
      <t>в Новостройках*</t>
    </r>
    <r>
      <rPr>
        <b/>
        <sz val="9"/>
        <color theme="1"/>
        <rFont val="Consolas"/>
        <family val="3"/>
        <charset val="204"/>
      </rPr>
      <t>:</t>
    </r>
  </si>
  <si>
    <r>
      <t xml:space="preserve"> - для Домохозяйств, охваченных по технологии FTTB с проникновением </t>
    </r>
    <r>
      <rPr>
        <b/>
        <sz val="9"/>
        <color theme="1"/>
        <rFont val="Consolas"/>
        <family val="3"/>
        <charset val="204"/>
      </rPr>
      <t xml:space="preserve"> </t>
    </r>
    <r>
      <rPr>
        <b/>
        <sz val="9"/>
        <color rgb="FFFF0000"/>
        <rFont val="Consolas"/>
        <family val="3"/>
        <charset val="204"/>
      </rPr>
      <t xml:space="preserve">до 30 % </t>
    </r>
  </si>
  <si>
    <r>
      <t xml:space="preserve"> - для Домохозяйств, охваченных по технологии FTTB с проникновением  </t>
    </r>
    <r>
      <rPr>
        <b/>
        <sz val="9"/>
        <color rgb="FFFF0000"/>
        <rFont val="Consolas"/>
        <family val="3"/>
        <charset val="204"/>
      </rPr>
      <t>от 50% до 80 %</t>
    </r>
    <r>
      <rPr>
        <b/>
        <sz val="9"/>
        <color theme="1"/>
        <rFont val="Consolas"/>
        <family val="3"/>
        <charset val="204"/>
      </rPr>
      <t xml:space="preserve"> </t>
    </r>
  </si>
  <si>
    <r>
      <t xml:space="preserve"> - для Домохозяйств, охваченных по технологии FTTB с проникновением  </t>
    </r>
    <r>
      <rPr>
        <b/>
        <sz val="9"/>
        <color rgb="FFFF0000"/>
        <rFont val="Consolas"/>
        <family val="3"/>
        <charset val="204"/>
      </rPr>
      <t>выше 80 %</t>
    </r>
    <r>
      <rPr>
        <b/>
        <sz val="9"/>
        <color theme="1"/>
        <rFont val="Consolas"/>
        <family val="3"/>
        <charset val="204"/>
      </rPr>
      <t xml:space="preserve"> </t>
    </r>
  </si>
  <si>
    <r>
      <t xml:space="preserve">Строительство сетей </t>
    </r>
    <r>
      <rPr>
        <b/>
        <sz val="9"/>
        <color rgb="FFFF0000"/>
        <rFont val="Consolas"/>
        <family val="3"/>
        <charset val="204"/>
      </rPr>
      <t>1 GE</t>
    </r>
    <r>
      <rPr>
        <b/>
        <sz val="9"/>
        <color rgb="FF000000"/>
        <rFont val="Consolas"/>
        <family val="3"/>
        <charset val="204"/>
      </rPr>
      <t xml:space="preserve"> </t>
    </r>
    <r>
      <rPr>
        <b/>
        <sz val="9"/>
        <color rgb="FFFF0000"/>
        <rFont val="Consolas"/>
        <family val="3"/>
        <charset val="204"/>
      </rPr>
      <t>в стандартной застройке*</t>
    </r>
  </si>
  <si>
    <r>
      <t xml:space="preserve"> </t>
    </r>
    <r>
      <rPr>
        <sz val="9"/>
        <color rgb="FF000000"/>
        <rFont val="Consolas"/>
        <family val="3"/>
        <charset val="204"/>
      </rPr>
      <t xml:space="preserve">- для Домохозяйств, охваченных по технологии FTTB </t>
    </r>
    <r>
      <rPr>
        <b/>
        <sz val="9"/>
        <color rgb="FFFF0000"/>
        <rFont val="Consolas"/>
        <family val="3"/>
        <charset val="204"/>
      </rPr>
      <t>1 GE</t>
    </r>
    <r>
      <rPr>
        <sz val="9"/>
        <color rgb="FF000000"/>
        <rFont val="Consolas"/>
        <family val="3"/>
        <charset val="204"/>
      </rPr>
      <t xml:space="preserve"> с проникновением</t>
    </r>
    <r>
      <rPr>
        <b/>
        <sz val="9"/>
        <color rgb="FF000000"/>
        <rFont val="Consolas"/>
        <family val="3"/>
        <charset val="204"/>
      </rPr>
      <t xml:space="preserve"> </t>
    </r>
    <r>
      <rPr>
        <b/>
        <sz val="9"/>
        <color rgb="FFFF0000"/>
        <rFont val="Consolas"/>
        <family val="3"/>
        <charset val="204"/>
      </rPr>
      <t xml:space="preserve"> до 30 %</t>
    </r>
    <r>
      <rPr>
        <b/>
        <sz val="9"/>
        <color rgb="FF000000"/>
        <rFont val="Consolas"/>
        <family val="3"/>
        <charset val="204"/>
      </rPr>
      <t xml:space="preserve"> </t>
    </r>
  </si>
  <si>
    <r>
      <t xml:space="preserve"> - для Домохозяйств, охваченных по технологии FTTB </t>
    </r>
    <r>
      <rPr>
        <b/>
        <sz val="9"/>
        <color rgb="FFFF0000"/>
        <rFont val="Consolas"/>
        <family val="3"/>
        <charset val="204"/>
      </rPr>
      <t>1 GE</t>
    </r>
    <r>
      <rPr>
        <sz val="9"/>
        <color rgb="FF000000"/>
        <rFont val="Consolas"/>
        <family val="3"/>
        <charset val="204"/>
      </rPr>
      <t xml:space="preserve"> с проникновением  </t>
    </r>
    <r>
      <rPr>
        <b/>
        <sz val="9"/>
        <color rgb="FFFF0000"/>
        <rFont val="Consolas"/>
        <family val="3"/>
        <charset val="204"/>
      </rPr>
      <t xml:space="preserve">от 30% до 50 % </t>
    </r>
  </si>
  <si>
    <r>
      <t xml:space="preserve"> - для Домохозяйств, охваченных по технологии FTTB 1 GE с проникновением  </t>
    </r>
    <r>
      <rPr>
        <b/>
        <sz val="9"/>
        <color rgb="FFFF0000"/>
        <rFont val="Consolas"/>
        <family val="3"/>
        <charset val="204"/>
      </rPr>
      <t xml:space="preserve">от 50% до 80 % </t>
    </r>
  </si>
  <si>
    <r>
      <t xml:space="preserve"> - для Домохозяйств, охваченных по технологии FTTB </t>
    </r>
    <r>
      <rPr>
        <b/>
        <sz val="9"/>
        <color rgb="FFFF0000"/>
        <rFont val="Consolas"/>
        <family val="3"/>
        <charset val="204"/>
      </rPr>
      <t>1 GE</t>
    </r>
    <r>
      <rPr>
        <sz val="9"/>
        <color rgb="FF000000"/>
        <rFont val="Consolas"/>
        <family val="3"/>
        <charset val="204"/>
      </rPr>
      <t xml:space="preserve"> с проникновением  </t>
    </r>
    <r>
      <rPr>
        <b/>
        <sz val="9"/>
        <color rgb="FFFF0000"/>
        <rFont val="Consolas"/>
        <family val="3"/>
        <charset val="204"/>
      </rPr>
      <t xml:space="preserve">выше 80 % </t>
    </r>
  </si>
  <si>
    <r>
      <t xml:space="preserve">Строительство сетей 1 GE </t>
    </r>
    <r>
      <rPr>
        <b/>
        <sz val="9"/>
        <color rgb="FFFF0000"/>
        <rFont val="Consolas"/>
        <family val="3"/>
        <charset val="204"/>
      </rPr>
      <t>в новостройках*</t>
    </r>
  </si>
  <si>
    <r>
      <t xml:space="preserve"> - для Домохозяйств, охваченных по технологии FTTB </t>
    </r>
    <r>
      <rPr>
        <b/>
        <sz val="9"/>
        <color rgb="FFFF0000"/>
        <rFont val="Consolas"/>
        <family val="3"/>
        <charset val="204"/>
      </rPr>
      <t>1 GE</t>
    </r>
    <r>
      <rPr>
        <sz val="9"/>
        <color rgb="FF000000"/>
        <rFont val="Consolas"/>
        <family val="3"/>
        <charset val="204"/>
      </rPr>
      <t xml:space="preserve"> с проникновением  </t>
    </r>
    <r>
      <rPr>
        <b/>
        <sz val="9"/>
        <color rgb="FFFF0000"/>
        <rFont val="Consolas"/>
        <family val="3"/>
        <charset val="204"/>
      </rPr>
      <t xml:space="preserve">до 30 % </t>
    </r>
  </si>
  <si>
    <r>
      <t xml:space="preserve"> - для Домохозяйств, охваченных по технологии FTTB </t>
    </r>
    <r>
      <rPr>
        <b/>
        <sz val="9"/>
        <color rgb="FFFF0000"/>
        <rFont val="Consolas"/>
        <family val="3"/>
        <charset val="204"/>
      </rPr>
      <t>1 GE</t>
    </r>
    <r>
      <rPr>
        <sz val="9"/>
        <color rgb="FF000000"/>
        <rFont val="Consolas"/>
        <family val="3"/>
        <charset val="204"/>
      </rPr>
      <t xml:space="preserve"> с проникновением  </t>
    </r>
    <r>
      <rPr>
        <b/>
        <sz val="9"/>
        <color rgb="FFFF0000"/>
        <rFont val="Consolas"/>
        <family val="3"/>
        <charset val="204"/>
      </rPr>
      <t>от 30% до 50 %</t>
    </r>
    <r>
      <rPr>
        <sz val="9"/>
        <color rgb="FF000000"/>
        <rFont val="Consolas"/>
        <family val="3"/>
        <charset val="204"/>
      </rPr>
      <t xml:space="preserve"> </t>
    </r>
  </si>
  <si>
    <r>
      <t xml:space="preserve"> - для Домохозяйств, охваченных по технологии FTTB </t>
    </r>
    <r>
      <rPr>
        <b/>
        <sz val="9"/>
        <color rgb="FFFF0000"/>
        <rFont val="Consolas"/>
        <family val="3"/>
        <charset val="204"/>
      </rPr>
      <t>1 GE</t>
    </r>
    <r>
      <rPr>
        <sz val="9"/>
        <color rgb="FF000000"/>
        <rFont val="Consolas"/>
        <family val="3"/>
        <charset val="204"/>
      </rPr>
      <t xml:space="preserve"> с проникновением  </t>
    </r>
    <r>
      <rPr>
        <b/>
        <sz val="9"/>
        <color rgb="FFFF0000"/>
        <rFont val="Consolas"/>
        <family val="3"/>
        <charset val="204"/>
      </rPr>
      <t xml:space="preserve">от 50% до 80 % </t>
    </r>
  </si>
  <si>
    <r>
      <t xml:space="preserve">Строительство сетей абонентского доступа по технологии PON в сегменте МКД </t>
    </r>
    <r>
      <rPr>
        <b/>
        <sz val="9"/>
        <color rgb="FFFF0000"/>
        <rFont val="Consolas"/>
        <family val="3"/>
        <charset val="204"/>
      </rPr>
      <t>(малоэтажный):</t>
    </r>
  </si>
  <si>
    <r>
      <rPr>
        <sz val="9"/>
        <color theme="1"/>
        <rFont val="Consolas"/>
        <family val="3"/>
        <charset val="204"/>
      </rPr>
      <t>для Домохозяйств, охваченных по технологии PON с проникновением</t>
    </r>
    <r>
      <rPr>
        <b/>
        <sz val="9"/>
        <color theme="1"/>
        <rFont val="Consolas"/>
        <family val="3"/>
        <charset val="204"/>
      </rPr>
      <t xml:space="preserve"> </t>
    </r>
    <r>
      <rPr>
        <b/>
        <sz val="9"/>
        <color rgb="FFFF0000"/>
        <rFont val="Consolas"/>
        <family val="3"/>
        <charset val="204"/>
      </rPr>
      <t xml:space="preserve"> 50 % </t>
    </r>
  </si>
  <si>
    <r>
      <rPr>
        <sz val="9"/>
        <color theme="1"/>
        <rFont val="Consolas"/>
        <family val="3"/>
        <charset val="204"/>
      </rPr>
      <t>для Домохозяйств, охваченных по технологии PON с проникновением</t>
    </r>
    <r>
      <rPr>
        <b/>
        <sz val="9"/>
        <color theme="1"/>
        <rFont val="Consolas"/>
        <family val="3"/>
        <charset val="204"/>
      </rPr>
      <t xml:space="preserve">  </t>
    </r>
    <r>
      <rPr>
        <b/>
        <sz val="9"/>
        <color rgb="FFFF0000"/>
        <rFont val="Consolas"/>
        <family val="3"/>
        <charset val="204"/>
      </rPr>
      <t>100 %</t>
    </r>
  </si>
  <si>
    <r>
      <t xml:space="preserve">Строительство сетей абонентского доступа по технологии GPON в сегменте МКД </t>
    </r>
    <r>
      <rPr>
        <b/>
        <sz val="9"/>
        <color rgb="FFFF0000"/>
        <rFont val="Consolas"/>
        <family val="3"/>
        <charset val="204"/>
      </rPr>
      <t>стандартной застройки:</t>
    </r>
  </si>
  <si>
    <r>
      <rPr>
        <sz val="9"/>
        <color theme="1"/>
        <rFont val="Consolas"/>
        <family val="3"/>
        <charset val="204"/>
      </rPr>
      <t xml:space="preserve">для Домохозяйств, охваченных по технологии PON с проникновением </t>
    </r>
    <r>
      <rPr>
        <b/>
        <sz val="9"/>
        <color theme="1"/>
        <rFont val="Consolas"/>
        <family val="3"/>
        <charset val="204"/>
      </rPr>
      <t xml:space="preserve"> </t>
    </r>
    <r>
      <rPr>
        <b/>
        <sz val="9"/>
        <color rgb="FFFF0000"/>
        <rFont val="Consolas"/>
        <family val="3"/>
        <charset val="204"/>
      </rPr>
      <t xml:space="preserve">50 % </t>
    </r>
  </si>
  <si>
    <r>
      <rPr>
        <sz val="9"/>
        <color theme="1"/>
        <rFont val="Consolas"/>
        <family val="3"/>
        <charset val="204"/>
      </rPr>
      <t xml:space="preserve">для Домохозяйств, охваченных по технологии PON с проникновением </t>
    </r>
    <r>
      <rPr>
        <b/>
        <sz val="9"/>
        <color theme="1"/>
        <rFont val="Consolas"/>
        <family val="3"/>
        <charset val="204"/>
      </rPr>
      <t xml:space="preserve"> </t>
    </r>
    <r>
      <rPr>
        <b/>
        <sz val="9"/>
        <color rgb="FFFF0000"/>
        <rFont val="Consolas"/>
        <family val="3"/>
        <charset val="204"/>
      </rPr>
      <t xml:space="preserve">100 % </t>
    </r>
  </si>
  <si>
    <r>
      <rPr>
        <b/>
        <sz val="9"/>
        <color rgb="FF000000"/>
        <rFont val="Consolas"/>
        <family val="3"/>
        <charset val="204"/>
      </rPr>
      <t xml:space="preserve">Прокладка и монтаж ВОК </t>
    </r>
    <r>
      <rPr>
        <b/>
        <sz val="9"/>
        <color rgb="FFFF0000"/>
        <rFont val="Consolas"/>
        <family val="3"/>
        <charset val="204"/>
      </rPr>
      <t>в кабельной канализации, в грунте, по опорам</t>
    </r>
    <r>
      <rPr>
        <sz val="9"/>
        <color rgb="FF000000"/>
        <rFont val="Consolas"/>
        <family val="3"/>
        <charset val="204"/>
      </rPr>
      <t xml:space="preserve"> </t>
    </r>
    <r>
      <rPr>
        <b/>
        <sz val="9"/>
        <color rgb="FFFF0000"/>
        <rFont val="Consolas"/>
        <family val="3"/>
        <charset val="204"/>
      </rPr>
      <t>и др. способов прокладки</t>
    </r>
    <r>
      <rPr>
        <sz val="9"/>
        <color rgb="FF000000"/>
        <rFont val="Consolas"/>
        <family val="3"/>
        <charset val="204"/>
      </rPr>
      <t xml:space="preserve"> ( при превышении длины магистральных участков ВОЛС 500 м на дом) см. примечание 11                                                                                     </t>
    </r>
    <r>
      <rPr>
        <sz val="9"/>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 (см. примечание 16)</t>
    </r>
  </si>
  <si>
    <t>422.1</t>
  </si>
  <si>
    <t>Дополнительные затраты к затратам в п.100,п.101,п.104 и п.105</t>
  </si>
  <si>
    <t>Установка блока из трех розеток (в различной комплектации-220 В,типа RJ-45/11,ОРА,РПВ,ТВ одиночные разъем F)</t>
  </si>
  <si>
    <t>Установка блока из четырех розеток (в различной комплектации-220 В,типа RJ-45/11,ОРА,РПВ,ТВ одиночные разъем F)</t>
  </si>
  <si>
    <r>
      <t xml:space="preserve">Устройство абонентской разводки кабелем типа RG-6  </t>
    </r>
    <r>
      <rPr>
        <b/>
        <sz val="9"/>
        <color theme="1" tint="4.9989318521683403E-2"/>
        <rFont val="Consolas"/>
        <family val="3"/>
        <charset val="204"/>
      </rPr>
      <t xml:space="preserve">по стене/потолку </t>
    </r>
    <r>
      <rPr>
        <sz val="9"/>
        <color theme="1" tint="4.9989318521683403E-2"/>
        <rFont val="Consolas"/>
        <family val="3"/>
        <charset val="204"/>
      </rPr>
      <t>с креплением скобами,монтажными площадками (открытая проводка) с оконцовкой коннектором типа F или одиночной розеткой типа F</t>
    </r>
  </si>
  <si>
    <r>
      <t xml:space="preserve">Устройство абонентской разводки кабелем типа RG-6  </t>
    </r>
    <r>
      <rPr>
        <b/>
        <sz val="9"/>
        <color theme="1" tint="4.9989318521683403E-2"/>
        <rFont val="Consolas"/>
        <family val="3"/>
        <charset val="204"/>
      </rPr>
      <t xml:space="preserve">по стене с устройством и заделкой борозды с креплением  скобами </t>
    </r>
    <r>
      <rPr>
        <sz val="9"/>
        <color theme="1" tint="4.9989318521683403E-2"/>
        <rFont val="Consolas"/>
        <family val="3"/>
        <charset val="204"/>
      </rPr>
      <t>(скрытая проводка) с оконцовкой коннектором типа F или одиночной розеткой типа F</t>
    </r>
  </si>
  <si>
    <t>422.2</t>
  </si>
  <si>
    <r>
      <t xml:space="preserve">СМР:  разделка ВОК,сварка одного волокна , все виды измерений, тестирований, паспортизация (не ограничиваясь перечисленным: в электронном виде, Excel-формат для рефлектограмм, протоколы, схемы разварки); включая стоимость основных и расходных материалов,транспортные и все прочие расходы,;получение и оплата всех необходимых разрешений, согласований на право доступа и проведения работ, исполнительная документация по МР и РД (протоколы монтажа кроссов и пр.). </t>
    </r>
    <r>
      <rPr>
        <sz val="9"/>
        <color rgb="FFFF0000"/>
        <rFont val="Consolas"/>
        <family val="3"/>
        <charset val="204"/>
      </rPr>
      <t>Без стоимости опт. кроссов</t>
    </r>
  </si>
  <si>
    <r>
      <t xml:space="preserve">СМР:  разделка ВОК,сварка одного волокна , все виды измерений, тестирований, паспортизация (не ограничиваясь перечисленным: в электронном виде, Excel-формат для рефлектограмм, протоколы, схемы разварки); включая стоимость основных и расходных материалов,транспортные и все прочие расходы,;получение и оплата всех необходимых разрешений, согласований на право доступа и проведения работ, исполнительная документация по МР и РД (протоколы монтажа муфт и пр.). </t>
    </r>
    <r>
      <rPr>
        <sz val="9"/>
        <color rgb="FFFF0000"/>
        <rFont val="Consolas"/>
        <family val="3"/>
        <charset val="204"/>
      </rPr>
      <t>Без стоимости муфт и их комплектующих</t>
    </r>
  </si>
  <si>
    <t>1022.1</t>
  </si>
  <si>
    <t>1022.2</t>
  </si>
  <si>
    <t>1022.3</t>
  </si>
  <si>
    <r>
      <t xml:space="preserve">Устройство абонентской разводки ВОК типа ОВП-2Д (или его аналог), </t>
    </r>
    <r>
      <rPr>
        <b/>
        <sz val="9"/>
        <color theme="1" tint="4.9989318521683403E-2"/>
        <rFont val="Consolas"/>
        <family val="3"/>
        <charset val="204"/>
      </rPr>
      <t>по стене/потолку</t>
    </r>
    <r>
      <rPr>
        <sz val="9"/>
        <color theme="1" tint="4.9989318521683403E-2"/>
        <rFont val="Consolas"/>
        <family val="3"/>
        <charset val="204"/>
      </rPr>
      <t xml:space="preserve"> с креплением скобами,монтажными площадками (открытая проводка, под отделку) с оконцовкой коннектором (любой разъем, любая полировка) или розеткой ОРА </t>
    </r>
  </si>
  <si>
    <r>
      <t xml:space="preserve">Устройство абонентской разводки ВОК типа ОВП-2Д (или его аналог)  </t>
    </r>
    <r>
      <rPr>
        <b/>
        <sz val="9"/>
        <color theme="1" tint="4.9989318521683403E-2"/>
        <rFont val="Consolas"/>
        <family val="3"/>
        <charset val="204"/>
      </rPr>
      <t>по стене с устройством и заделкой борозды с креплением  скобами</t>
    </r>
    <r>
      <rPr>
        <sz val="9"/>
        <color theme="1" tint="4.9989318521683403E-2"/>
        <rFont val="Consolas"/>
        <family val="3"/>
        <charset val="204"/>
      </rPr>
      <t xml:space="preserve"> (скрытая проводка) с оконцовкой коннектором (любой разъем, любая полировка) или розеткой ОРА</t>
    </r>
  </si>
  <si>
    <t>Монтаж модуля сопряжения  (LoRa)</t>
  </si>
  <si>
    <r>
      <t xml:space="preserve">ПИР,СМР, прочие затраты, не ограничиваясь перечисленным: монтаж стальной трубы для стойки (60х14) </t>
    </r>
    <r>
      <rPr>
        <sz val="9"/>
        <color rgb="FFFF0000"/>
        <rFont val="Consolas"/>
        <family val="3"/>
        <charset val="204"/>
      </rPr>
      <t>с учетом всех материалов и трубостойки</t>
    </r>
    <r>
      <rPr>
        <sz val="9"/>
        <rFont val="Consolas"/>
        <family val="3"/>
        <charset val="204"/>
      </rPr>
      <t>, включая пробивку и заделку отверстий;установку гильз в перекрытиях; соединение трубостоек; восстановление отделки поверхностей в доме, наклейки на трубостойки; прочие затраты, все необходимые согласования и разрешения;</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;исполнительная документация по МР</t>
    </r>
  </si>
  <si>
    <t>Раздел 10. Удельные расценки на виды работ для строительства полного комплекса телекоммуникационных услуг. (см. Примечание 12)</t>
  </si>
  <si>
    <t>408.1</t>
  </si>
  <si>
    <r>
      <t xml:space="preserve">Монтаж/замена патч-корда длиной </t>
    </r>
    <r>
      <rPr>
        <b/>
        <sz val="9"/>
        <color rgb="FFFF0000"/>
        <rFont val="Consolas"/>
        <family val="3"/>
        <charset val="204"/>
      </rPr>
      <t>свыше 3 м</t>
    </r>
    <r>
      <rPr>
        <sz val="9"/>
        <color rgb="FF000000"/>
        <rFont val="Consolas"/>
        <family val="3"/>
        <charset val="204"/>
      </rPr>
      <t xml:space="preserve">
(duplex/simpex, любой разъем, любая полировка)</t>
    </r>
  </si>
  <si>
    <r>
      <rPr>
        <b/>
        <sz val="9"/>
        <color rgb="FF000000"/>
        <rFont val="Consolas"/>
        <family val="3"/>
        <charset val="204"/>
      </rPr>
      <t>Монтаж/замена патч-корда длиной</t>
    </r>
    <r>
      <rPr>
        <sz val="9"/>
        <color rgb="FFFF0000"/>
        <rFont val="Consolas"/>
        <family val="3"/>
        <charset val="204"/>
      </rPr>
      <t xml:space="preserve"> </t>
    </r>
    <r>
      <rPr>
        <b/>
        <sz val="9"/>
        <color rgb="FFFF0000"/>
        <rFont val="Consolas"/>
        <family val="3"/>
        <charset val="204"/>
      </rPr>
      <t xml:space="preserve">до 3 м
</t>
    </r>
    <r>
      <rPr>
        <sz val="9"/>
        <color theme="1" tint="4.9989318521683403E-2"/>
        <rFont val="Consolas"/>
        <family val="3"/>
        <charset val="204"/>
      </rPr>
      <t>(duplex/simpex, любой разъем, любая полировка)</t>
    </r>
  </si>
  <si>
    <t>409.1</t>
  </si>
  <si>
    <r>
      <t xml:space="preserve">ПИР; СМР: монтаж/замена патч-корда на сетях/оборудовании Заказчика. 
</t>
    </r>
    <r>
      <rPr>
        <sz val="9"/>
        <color rgb="FFFF0000"/>
        <rFont val="Consolas"/>
        <family val="3"/>
        <charset val="204"/>
      </rPr>
      <t>С учетом стоимости патч-кордов и расходных материалов (состав для обработки разъемов, баллончик со сжатым воздухом и проч.), с учетом прочих расходов (включая транспортные).</t>
    </r>
  </si>
  <si>
    <r>
      <t>Устройство абонентской разводки кабелем типа UTP/FTP Cat 5 (</t>
    </r>
    <r>
      <rPr>
        <b/>
        <sz val="9"/>
        <color rgb="FFFF0000"/>
        <rFont val="Consolas"/>
        <family val="3"/>
        <charset val="204"/>
      </rPr>
      <t>от 5 до 8 пар</t>
    </r>
    <r>
      <rPr>
        <sz val="9"/>
        <color theme="1" tint="4.9989318521683403E-2"/>
        <rFont val="Consolas"/>
        <family val="3"/>
        <charset val="204"/>
      </rPr>
      <t xml:space="preserve">) </t>
    </r>
    <r>
      <rPr>
        <b/>
        <sz val="9"/>
        <color theme="1" tint="4.9989318521683403E-2"/>
        <rFont val="Consolas"/>
        <family val="3"/>
        <charset val="204"/>
      </rPr>
      <t xml:space="preserve"> по установленным конструкциям </t>
    </r>
    <r>
      <rPr>
        <sz val="9"/>
        <color theme="1" tint="4.9989318521683403E-2"/>
        <rFont val="Consolas"/>
        <family val="3"/>
        <charset val="204"/>
      </rPr>
      <t>(труба</t>
    </r>
    <r>
      <rPr>
        <b/>
        <vertAlign val="superscript"/>
        <sz val="9"/>
        <color rgb="FFFF0000"/>
        <rFont val="Consolas"/>
        <family val="3"/>
        <charset val="204"/>
      </rPr>
      <t>17</t>
    </r>
    <r>
      <rPr>
        <sz val="9"/>
        <color theme="1" tint="4.9989318521683403E-2"/>
        <rFont val="Consolas"/>
        <family val="3"/>
        <charset val="204"/>
      </rPr>
      <t>/короб/кабельный канал/гофра) с оконцовкой коннектором типа RJ или розеткой типа RJ</t>
    </r>
  </si>
  <si>
    <r>
      <t>Устройство абонентской разводки кабелем типа UTP/FTP Cat 5 (</t>
    </r>
    <r>
      <rPr>
        <b/>
        <sz val="9"/>
        <color rgb="FFFF0000"/>
        <rFont val="Consolas"/>
        <family val="3"/>
        <charset val="204"/>
      </rPr>
      <t>от 5 до 8 пар</t>
    </r>
    <r>
      <rPr>
        <sz val="9"/>
        <color theme="1" tint="4.9989318521683403E-2"/>
        <rFont val="Consolas"/>
        <family val="3"/>
        <charset val="204"/>
      </rPr>
      <t xml:space="preserve">)   </t>
    </r>
    <r>
      <rPr>
        <b/>
        <sz val="9"/>
        <color theme="1" tint="4.9989318521683403E-2"/>
        <rFont val="Consolas"/>
        <family val="3"/>
        <charset val="204"/>
      </rPr>
      <t>по конструкциям (труба</t>
    </r>
    <r>
      <rPr>
        <b/>
        <vertAlign val="superscript"/>
        <sz val="9"/>
        <color rgb="FFFF0000"/>
        <rFont val="Consolas"/>
        <family val="3"/>
        <charset val="204"/>
      </rPr>
      <t>17</t>
    </r>
    <r>
      <rPr>
        <b/>
        <sz val="9"/>
        <color theme="1" tint="4.9989318521683403E-2"/>
        <rFont val="Consolas"/>
        <family val="3"/>
        <charset val="204"/>
      </rPr>
      <t>/короб/кабельный канал/гофра) с их установкой</t>
    </r>
    <r>
      <rPr>
        <sz val="9"/>
        <color theme="1" tint="4.9989318521683403E-2"/>
        <rFont val="Consolas"/>
        <family val="3"/>
        <charset val="204"/>
      </rPr>
      <t>, с оконцовкой коннектором типа RJ или розеткой типа RJ</t>
    </r>
  </si>
  <si>
    <r>
      <t xml:space="preserve">Устройство абонентской разводки кабелем типа RG-6  </t>
    </r>
    <r>
      <rPr>
        <b/>
        <sz val="9"/>
        <color theme="1" tint="4.9989318521683403E-2"/>
        <rFont val="Consolas"/>
        <family val="3"/>
        <charset val="204"/>
      </rPr>
      <t xml:space="preserve">по установленным конструкциям </t>
    </r>
    <r>
      <rPr>
        <sz val="9"/>
        <color theme="1" tint="4.9989318521683403E-2"/>
        <rFont val="Consolas"/>
        <family val="3"/>
        <charset val="204"/>
      </rPr>
      <t>(труба</t>
    </r>
    <r>
      <rPr>
        <b/>
        <vertAlign val="superscript"/>
        <sz val="9"/>
        <color rgb="FFFF0000"/>
        <rFont val="Consolas"/>
        <family val="3"/>
        <charset val="204"/>
      </rPr>
      <t>17</t>
    </r>
    <r>
      <rPr>
        <sz val="9"/>
        <color theme="1" tint="4.9989318521683403E-2"/>
        <rFont val="Consolas"/>
        <family val="3"/>
        <charset val="204"/>
      </rPr>
      <t>/ короб/кабельный канал/гофра) с оконцовкой коннектором типа F или одиночной розеткой типа F</t>
    </r>
  </si>
  <si>
    <r>
      <t xml:space="preserve">Устройство абонентской разводки кабелем типа RG-6   </t>
    </r>
    <r>
      <rPr>
        <b/>
        <sz val="9"/>
        <color theme="1" tint="4.9989318521683403E-2"/>
        <rFont val="Consolas"/>
        <family val="3"/>
        <charset val="204"/>
      </rPr>
      <t>по конструкциям (труба</t>
    </r>
    <r>
      <rPr>
        <b/>
        <vertAlign val="superscript"/>
        <sz val="9"/>
        <color rgb="FFFF0000"/>
        <rFont val="Consolas"/>
        <family val="3"/>
        <charset val="204"/>
      </rPr>
      <t>17</t>
    </r>
    <r>
      <rPr>
        <b/>
        <sz val="9"/>
        <color theme="1" tint="4.9989318521683403E-2"/>
        <rFont val="Consolas"/>
        <family val="3"/>
        <charset val="204"/>
      </rPr>
      <t>/ короб/кабельный канал/гофра) с их установкой</t>
    </r>
    <r>
      <rPr>
        <sz val="9"/>
        <color theme="1" tint="4.9989318521683403E-2"/>
        <rFont val="Consolas"/>
        <family val="3"/>
        <charset val="204"/>
      </rPr>
      <t>, с оконцовкой коннектором типа F или одиночной розеткой типа F</t>
    </r>
  </si>
  <si>
    <r>
      <t xml:space="preserve">Устройство абонентской разводки ВОК типа ОВП-2Д (или его аналог) </t>
    </r>
    <r>
      <rPr>
        <b/>
        <sz val="9"/>
        <color theme="1" tint="4.9989318521683403E-2"/>
        <rFont val="Consolas"/>
        <family val="3"/>
        <charset val="204"/>
      </rPr>
      <t xml:space="preserve"> по установленным конструкциям </t>
    </r>
    <r>
      <rPr>
        <sz val="9"/>
        <color theme="1" tint="4.9989318521683403E-2"/>
        <rFont val="Consolas"/>
        <family val="3"/>
        <charset val="204"/>
      </rPr>
      <t>(труба</t>
    </r>
    <r>
      <rPr>
        <b/>
        <vertAlign val="superscript"/>
        <sz val="9"/>
        <color rgb="FFFF0000"/>
        <rFont val="Consolas"/>
        <family val="3"/>
        <charset val="204"/>
      </rPr>
      <t>17</t>
    </r>
    <r>
      <rPr>
        <sz val="9"/>
        <color theme="1" tint="4.9989318521683403E-2"/>
        <rFont val="Consolas"/>
        <family val="3"/>
        <charset val="204"/>
      </rPr>
      <t>/короб/кабельный канал/гофра) с оконцовкой коннектором (любой разъем, любая полировка) или розеткой ОРА</t>
    </r>
  </si>
  <si>
    <r>
      <t xml:space="preserve">Устройство абонентской разводки ВОК типа типа ОВП-2Д (или его аналог)  </t>
    </r>
    <r>
      <rPr>
        <b/>
        <sz val="9"/>
        <color theme="1" tint="4.9989318521683403E-2"/>
        <rFont val="Consolas"/>
        <family val="3"/>
        <charset val="204"/>
      </rPr>
      <t>по конструкциям (труба</t>
    </r>
    <r>
      <rPr>
        <b/>
        <vertAlign val="superscript"/>
        <sz val="9"/>
        <color rgb="FFFF0000"/>
        <rFont val="Consolas"/>
        <family val="3"/>
        <charset val="204"/>
      </rPr>
      <t>17</t>
    </r>
    <r>
      <rPr>
        <b/>
        <sz val="9"/>
        <color theme="1" tint="4.9989318521683403E-2"/>
        <rFont val="Consolas"/>
        <family val="3"/>
        <charset val="204"/>
      </rPr>
      <t>/короб/кабельный канал/гофра) с их установкой</t>
    </r>
    <r>
      <rPr>
        <sz val="9"/>
        <color theme="1" tint="4.9989318521683403E-2"/>
        <rFont val="Consolas"/>
        <family val="3"/>
        <charset val="204"/>
      </rPr>
      <t>, с оконцовкой коннектором (любой разъем, любая полировка) или розеткой ОРА</t>
    </r>
  </si>
  <si>
    <r>
      <t xml:space="preserve">Прокладка и монтаж кабеля типа ВВГ/ПВС </t>
    </r>
    <r>
      <rPr>
        <b/>
        <sz val="9"/>
        <color theme="1" tint="4.9989318521683403E-2"/>
        <rFont val="Consolas"/>
        <family val="3"/>
        <charset val="204"/>
      </rPr>
      <t>по проектируемым конструкциям: трубе</t>
    </r>
    <r>
      <rPr>
        <b/>
        <vertAlign val="superscript"/>
        <sz val="9"/>
        <color rgb="FFFF0000"/>
        <rFont val="Consolas"/>
        <family val="3"/>
        <charset val="204"/>
      </rPr>
      <t>17</t>
    </r>
    <r>
      <rPr>
        <b/>
        <sz val="9"/>
        <color theme="1" tint="4.9989318521683403E-2"/>
        <rFont val="Consolas"/>
        <family val="3"/>
        <charset val="204"/>
      </rPr>
      <t xml:space="preserve">/коробу/кабельному каналу/гофре с их установкой </t>
    </r>
  </si>
  <si>
    <r>
      <t xml:space="preserve">Прокладка трубы </t>
    </r>
    <r>
      <rPr>
        <b/>
        <vertAlign val="superscript"/>
        <sz val="9"/>
        <color rgb="FFFF0000"/>
        <rFont val="Consolas"/>
        <family val="3"/>
        <charset val="204"/>
      </rPr>
      <t>17</t>
    </r>
    <r>
      <rPr>
        <sz val="9"/>
        <color rgb="FF000000"/>
        <rFont val="Consolas"/>
        <family val="3"/>
        <charset val="204"/>
      </rPr>
      <t>/ гофры / короба / кабельного канала (в т.ч. и закладного)</t>
    </r>
  </si>
  <si>
    <r>
      <t xml:space="preserve">ПИР, СМР, </t>
    </r>
    <r>
      <rPr>
        <sz val="9"/>
        <color rgb="FFFF0000"/>
        <rFont val="Consolas"/>
        <family val="3"/>
        <charset val="204"/>
      </rPr>
      <t>включая стимость всех материалов и комплектующих</t>
    </r>
    <r>
      <rPr>
        <sz val="9"/>
        <color theme="1" tint="4.9989318521683403E-2"/>
        <rFont val="Consolas"/>
        <family val="3"/>
        <charset val="204"/>
      </rPr>
      <t>: оптических кроссов, сплиттеров, ОРК, ОРШ. Прочие затраты, включая: Проектирование магистральной сети и  домовой распределительной сети; Прокладка, монтаж и измерение ВОК магистрального кабеля с учётом стоимости материалов, ODF и кабельной продукции, от ODF до ОРМО (МГ-1) (при средней длине МГ-1 на дом в кластере не более 500 м) и от ОРМО до ОРШ (МГ-2). Строительство распределительной сети с учётом стоимости всех материалов и кабельной продукции, включая, но не ограничиваясь, выполнение следующих видов работ: получение всех видов согласований и разрешений,в т.ч. и с собственниками жилья; строительство вертикального и горизонтального ПВХ трубопровода( слаботочных стояков)с установкой переходных ящиков (включая стоимость ПВХ трубы и переходных ящиков); прокладка ВОК по существующему или вновь построенному трубопроводу; установка,монтаж ОРШ со сплиттерами первого каскада; установка,монтаж ОРК со сплиттерами второго каскада (для двухкаскадной схемы); монтаж, разварка ВОК с комплексом измерений; оформление, сдача разрешительных документов,ПСД и ИД по МР и законченного строительством объекта.</t>
    </r>
  </si>
  <si>
    <r>
      <t xml:space="preserve">ПИР, СМР, </t>
    </r>
    <r>
      <rPr>
        <sz val="9"/>
        <color rgb="FFFF0000"/>
        <rFont val="Consolas"/>
        <family val="3"/>
        <charset val="204"/>
      </rPr>
      <t>включая стимость всех материалов и комплектующих:</t>
    </r>
    <r>
      <rPr>
        <sz val="9"/>
        <color theme="1" tint="4.9989318521683403E-2"/>
        <rFont val="Consolas"/>
        <family val="3"/>
        <charset val="204"/>
      </rPr>
      <t xml:space="preserve"> оптических кроссов, сплиттеров, ОРК, ОРШ. Прочие затраты, включая: Проектирование магистральной сети и  домовой распределительной сети; Прокладка, монтаж и измерение ВОК магистрального кабеля с учётом стоимости материалов, ODF и кабельной продукции, от ODF до ОРМО (МГ-1) (при средней длине МГ-1 на дом в кластере не более 500 м) и от ОРМО до ОРШ (МГ-2). Строительство распределительной сети с учётом стоимости всех материалов и кабельной продукции, включая, но не ограничиваясь, выполнение следующих видов работ: получение всех видов согласований и разрешений,в т.ч. и с собственниками жилья; строительство вертикального и горизонтального ПВХ трубопровода( слаботочных стояков)с установкой переходных ящиков (включая стоимость ПВХ трубы и переходных ящиков); прокладка ВОК по существующему или вновь построенному трубопроводу; установка,монтаж ОРШ со сплиттерами первого каскада; установка,монтаж ОРК со сплиттерами второго каскада (для двухкаскадной схемы); монтаж, разварка ВОК с комплексом измерений; оформление, сдача разрешительных документов,ПСД и ИД по МР и законченного строительством объекта.</t>
    </r>
  </si>
  <si>
    <r>
      <t>FTTB стандартное строительство в домах  (с ДРС  до подъездов и установкой КБ/КЯ/ЯР: количество определяется по % проникновения; оконечивание кабеля (МПК и ВОК) с обеих сторон; трубостойки (стояки) устанавливаются с учетом 100% проникновения. Нормативная длина  магистральных участков</t>
    </r>
    <r>
      <rPr>
        <b/>
        <sz val="9"/>
        <color theme="1" tint="4.9989318521683403E-2"/>
        <rFont val="Consolas"/>
        <family val="3"/>
        <charset val="204"/>
      </rPr>
      <t xml:space="preserve"> </t>
    </r>
    <r>
      <rPr>
        <b/>
        <sz val="9"/>
        <color rgb="FFFF0000"/>
        <rFont val="Consolas"/>
        <family val="3"/>
        <charset val="204"/>
      </rPr>
      <t>ВОЛС в кластере ШПД  до 500 м</t>
    </r>
    <r>
      <rPr>
        <b/>
        <vertAlign val="superscript"/>
        <sz val="9"/>
        <color theme="1" tint="4.9989318521683403E-2"/>
        <rFont val="Consolas"/>
        <family val="3"/>
        <charset val="204"/>
      </rPr>
      <t>(10)</t>
    </r>
    <r>
      <rPr>
        <b/>
        <sz val="9"/>
        <color theme="1" tint="4.9989318521683403E-2"/>
        <rFont val="Consolas"/>
        <family val="3"/>
        <charset val="204"/>
      </rPr>
      <t xml:space="preserve"> </t>
    </r>
    <r>
      <rPr>
        <sz val="9"/>
        <color theme="1" tint="4.9989318521683403E-2"/>
        <rFont val="Consolas"/>
        <family val="3"/>
        <charset val="204"/>
      </rPr>
      <t>на один дом)</t>
    </r>
  </si>
  <si>
    <r>
      <t xml:space="preserve">ПИР (включая предварительную рабочую документацию); полный комплекс СМР, включая СМР на установку ТШ; стоимость материалов,вспомогательного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по МР и РД, </t>
    </r>
    <r>
      <rPr>
        <sz val="9"/>
        <color rgb="FFFF0000"/>
        <rFont val="Consolas"/>
        <family val="3"/>
        <charset val="204"/>
      </rPr>
      <t>без учета стоимости коммутатора агрегации и  телекоммуникационного шкафа узла доступа (ТШ)</t>
    </r>
  </si>
  <si>
    <r>
      <t>ПИР;СМР, включая прочие затраты; исполнительная документация; при этом включено:  монтаж укомплектованного шкафа ( комплектация по ТЗ в договоре), подключение к электропитанию и заземлению (</t>
    </r>
    <r>
      <rPr>
        <sz val="9"/>
        <color rgb="FFFF0000"/>
        <rFont val="Consolas"/>
        <family val="3"/>
        <charset val="204"/>
      </rPr>
      <t>если более 50 м. дополнительно применяется уд. расценка № 801</t>
    </r>
    <r>
      <rPr>
        <sz val="9"/>
        <rFont val="Consolas"/>
        <family val="3"/>
        <charset val="204"/>
      </rPr>
      <t xml:space="preserve">), установка ЩРУН (щиток учетно-распределительный), установка узлов учета электрической энергии, автоматического выключателя), </t>
    </r>
    <r>
      <rPr>
        <sz val="9"/>
        <color rgb="FF0070C0"/>
        <rFont val="Consolas"/>
        <family val="3"/>
        <charset val="204"/>
      </rPr>
      <t>стоимость и прокладка силового кабеля (длиной до 50 м)</t>
    </r>
    <r>
      <rPr>
        <sz val="9"/>
        <rFont val="Consolas"/>
        <family val="3"/>
        <charset val="204"/>
      </rPr>
      <t>, стоимость шкафа/стойки и монтажных материалов, включая органайзер, патч-панель, имиджевые наклейки и пр. элементы по комплектации в ТЗ. Оформление разрешительных документов на размещение,</t>
    </r>
    <r>
      <rPr>
        <sz val="9"/>
        <color rgb="FF0070C0"/>
        <rFont val="Consolas"/>
        <family val="3"/>
        <charset val="204"/>
      </rPr>
      <t>справки о выполнении ТУ от собственников инфраструктуры.</t>
    </r>
    <r>
      <rPr>
        <sz val="9"/>
        <rFont val="Consolas"/>
        <family val="3"/>
        <charset val="204"/>
      </rPr>
      <t xml:space="preserve"> </t>
    </r>
    <r>
      <rPr>
        <sz val="9"/>
        <color rgb="FFFF0000"/>
        <rFont val="Consolas"/>
        <family val="3"/>
        <charset val="204"/>
      </rPr>
      <t xml:space="preserve">Не включено: стоимость активного оборудования </t>
    </r>
  </si>
  <si>
    <t>1022.4</t>
  </si>
  <si>
    <r>
      <t>ПИР, СМР, прочие, не ограничиваясь перечисленным:  устройство, при необходимости, отверстия в стене с  заделкой (с установкой гильз),  устройство гнезд для подрозетников с восстановлением отделки стен,маркировка имиджевыми идентификационными наклейками,</t>
    </r>
    <r>
      <rPr>
        <sz val="9"/>
        <color rgb="FFFF0000"/>
        <rFont val="Consolas"/>
        <family val="3"/>
        <charset val="204"/>
      </rPr>
      <t xml:space="preserve"> с учетом стоимости  всех материалов и комплектующих.</t>
    </r>
    <r>
      <rPr>
        <sz val="9"/>
        <color theme="1" tint="4.9989318521683403E-2"/>
        <rFont val="Consolas"/>
        <family val="3"/>
        <charset val="204"/>
      </rPr>
      <t xml:space="preserve"> Проверка. Опробование. Оформление исполнительной документации по МР.</t>
    </r>
  </si>
  <si>
    <r>
      <t xml:space="preserve">ПИР, СМР, прочие, не ограничиваясь перечисленным:  устройство, при необходимости, отверстия в стене с  заделкой (с установкой гильз),  устройство гнезд для подрозетников с восстановлением отделки стен,маркировка имиджевыми идентификационными наклейками, </t>
    </r>
    <r>
      <rPr>
        <sz val="9"/>
        <color rgb="FFFF0000"/>
        <rFont val="Consolas"/>
        <family val="3"/>
        <charset val="204"/>
      </rPr>
      <t>с учетом стоимости  всех материалов.</t>
    </r>
    <r>
      <rPr>
        <sz val="9"/>
        <color theme="1" tint="4.9989318521683403E-2"/>
        <rFont val="Consolas"/>
        <family val="3"/>
        <charset val="204"/>
      </rPr>
      <t xml:space="preserve"> Проверка. Опробование. Оформление исполнительной документации по МР.</t>
    </r>
  </si>
  <si>
    <r>
      <t xml:space="preserve">ПИР, СМР, прочие, не ограничиваясь перечисленным:  устройство, при необходимости, отверстия в стене с  заделкой (с установкой гильз),  устройство гнезд для подрозетников с восстановлением отделки стен,маркировка имиджевыми идентификационными наклейками, </t>
    </r>
    <r>
      <rPr>
        <sz val="9"/>
        <color rgb="FFFF0000"/>
        <rFont val="Consolas"/>
        <family val="3"/>
        <charset val="204"/>
      </rPr>
      <t>с учетом стоимости  всех материалов</t>
    </r>
    <r>
      <rPr>
        <sz val="9"/>
        <color theme="1" tint="4.9989318521683403E-2"/>
        <rFont val="Consolas"/>
        <family val="3"/>
        <charset val="204"/>
      </rPr>
      <t>. Проверка. Опробование. Оформление исполнительной документации по МР.</t>
    </r>
  </si>
  <si>
    <r>
      <t>ПИР, СМР, прочие, не ограничиваясь перечисленным:  устройство, при необходимости, отверстия в стене с  заделкой (с установкой гильз),  устройство гнезд для подрозетников с восстановлением отделки стен,маркировка имиджевыми идентификационными наклейками,</t>
    </r>
    <r>
      <rPr>
        <sz val="9"/>
        <color rgb="FFFF0000"/>
        <rFont val="Consolas"/>
        <family val="3"/>
        <charset val="204"/>
      </rPr>
      <t xml:space="preserve"> с учетом стоимости  всех материалов и сварки</t>
    </r>
    <r>
      <rPr>
        <sz val="9"/>
        <color theme="1" tint="4.9989318521683403E-2"/>
        <rFont val="Consolas"/>
        <family val="3"/>
        <charset val="204"/>
      </rPr>
      <t>. Проверка. Опробование. Оформление исполнительной документации по МР.</t>
    </r>
  </si>
  <si>
    <r>
      <t xml:space="preserve">ПИР, СМР, прочие, не ограничиваясь перечисленным:  устройство, при необходимости, отверстия в стене с  заделкой (с установкой гильз),  устройство гнезд для подрозетников с восстановлением отделки стен,маркировка имиджевыми идентификационными наклейками, </t>
    </r>
    <r>
      <rPr>
        <sz val="9"/>
        <color rgb="FFFF0000"/>
        <rFont val="Consolas"/>
        <family val="3"/>
        <charset val="204"/>
      </rPr>
      <t>с учетом стоимости  всех материалов и комплектующих</t>
    </r>
    <r>
      <rPr>
        <sz val="9"/>
        <color theme="1" tint="4.9989318521683403E-2"/>
        <rFont val="Consolas"/>
        <family val="3"/>
        <charset val="204"/>
      </rPr>
      <t>. Проверка. Опробование. Оформление исполнительной документации по МР.</t>
    </r>
  </si>
  <si>
    <r>
      <t xml:space="preserve">ПИР, СМР, прочие, не ограничиваясь перечисленным: прокладка и монтаж кабеля по стене,потолку (в т.ч. по фасаду)  от установленных ЯР/ШАН и патч-панелей/плинтов ,с учетом стоимости разделки,  устройством отверстий в стенах  (с установкой гильз),  заделкой, маркировка имиджевыми идентификационными наклейками, </t>
    </r>
    <r>
      <rPr>
        <sz val="9"/>
        <color rgb="FFFF0000"/>
        <rFont val="Consolas"/>
        <family val="3"/>
        <charset val="204"/>
      </rPr>
      <t>с учетом стоимости кабеля, коннектора/розетки RJ, прочих материалов</t>
    </r>
    <r>
      <rPr>
        <sz val="9"/>
        <color theme="1" tint="4.9989318521683403E-2"/>
        <rFont val="Consolas"/>
        <family val="3"/>
        <charset val="204"/>
      </rPr>
      <t>.  Оформление исполнительной документации по МР.</t>
    </r>
  </si>
  <si>
    <r>
      <t>ПИР, СМР, прочие, не ограничиваясь перечисленным: прокладка и монтаж кабеля по борозде скобами с устройством и заделкой борозды с финишной отделкой от установленных ЯР/ШАН и патч-панелей/плинтов,  с учетом стоимости разделки,  с устройством, при необходимости, отверстий в стенах  с заделкой (с установкой гильз),</t>
    </r>
    <r>
      <rPr>
        <sz val="9"/>
        <color rgb="FFFF0000"/>
        <rFont val="Consolas"/>
        <family val="3"/>
        <charset val="204"/>
      </rPr>
      <t xml:space="preserve"> </t>
    </r>
    <r>
      <rPr>
        <sz val="9"/>
        <color theme="1" tint="4.9989318521683403E-2"/>
        <rFont val="Consolas"/>
        <family val="3"/>
        <charset val="204"/>
      </rPr>
      <t>маркировка имиджевыми идентификационными наклейками</t>
    </r>
    <r>
      <rPr>
        <sz val="9"/>
        <color rgb="FFFF0000"/>
        <rFont val="Consolas"/>
        <family val="3"/>
        <charset val="204"/>
      </rPr>
      <t>,с учетом стоимости кабеля, коннектора/розетки RJ, прочих материалов</t>
    </r>
    <r>
      <rPr>
        <sz val="9"/>
        <color theme="1" tint="4.9989318521683403E-2"/>
        <rFont val="Consolas"/>
        <family val="3"/>
        <charset val="204"/>
      </rPr>
      <t>.  Оформление исполнительной документации по МР.</t>
    </r>
  </si>
  <si>
    <r>
      <t>ПИР, СМР, прочие, не ограничиваясь перечисленным: прокладка и монтаж кабеля по трубе/коробу/кабельному каналу/гофре от установленных ЯР/ШАН и патч-панелей/плинтов,  с учетом стоимости разделки,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 xml:space="preserve"> с учетом стоимости кабеля, коннектора/розетки RJ, прочих материалов</t>
    </r>
    <r>
      <rPr>
        <sz val="9"/>
        <color theme="1" tint="4.9989318521683403E-2"/>
        <rFont val="Consolas"/>
        <family val="3"/>
        <charset val="204"/>
      </rPr>
      <t>.  Оформление исполнительной документации по МР.</t>
    </r>
  </si>
  <si>
    <r>
      <t xml:space="preserve">ПИР, СМР, прочие, не ограничиваясь перечисленным: прокладка трубы/короба/кабельного канала/гофры, прокладка и монтаж кабеля по трубе/коробу/гофре от установленных ЯР/ШАН и патч-панелей/плинтов,  с учетом стоимости разделки,  с устройством, при необходимости, отверстий в стенах с заделкой (с установкой гильз),маркировка имиджевыми идентификационными наклейками, </t>
    </r>
    <r>
      <rPr>
        <sz val="9"/>
        <color rgb="FFFF0000"/>
        <rFont val="Consolas"/>
        <family val="3"/>
        <charset val="204"/>
      </rPr>
      <t>с учетом стоимости трубы/короба, кабельного канала,гофры, кабеля, коннектора/розетки RJ, прочих материалов</t>
    </r>
    <r>
      <rPr>
        <sz val="9"/>
        <color theme="1" tint="4.9989318521683403E-2"/>
        <rFont val="Consolas"/>
        <family val="3"/>
        <charset val="204"/>
      </rPr>
      <t>.  Оформление исполнительной документации по МР.</t>
    </r>
  </si>
  <si>
    <r>
      <t xml:space="preserve">ПИР, СМР, прочие, не ограничиваясь перечисленным: прокладка и монтаж кабеля по стене,потолку (в т.ч. по фасаду)  от установленных ШАН и патч-панелей ,  с учетом стоимости разделки,  устройством отверстий в стенах  (с установкой гильз),  заделкой, </t>
    </r>
    <r>
      <rPr>
        <sz val="9"/>
        <color rgb="FFFF0000"/>
        <rFont val="Consolas"/>
        <family val="3"/>
        <charset val="204"/>
      </rPr>
      <t xml:space="preserve"> </t>
    </r>
    <r>
      <rPr>
        <sz val="9"/>
        <color theme="1" tint="4.9989318521683403E-2"/>
        <rFont val="Consolas"/>
        <family val="3"/>
        <charset val="204"/>
      </rPr>
      <t>маркировка имиджевыми идентификационными наклейками</t>
    </r>
    <r>
      <rPr>
        <sz val="9"/>
        <color rgb="FFFF0000"/>
        <rFont val="Consolas"/>
        <family val="3"/>
        <charset val="204"/>
      </rPr>
      <t>,с учетом стоимости кабеля, коннектора/розетки RJ, прочих материалов</t>
    </r>
    <r>
      <rPr>
        <sz val="9"/>
        <color theme="1" tint="4.9989318521683403E-2"/>
        <rFont val="Consolas"/>
        <family val="3"/>
        <charset val="204"/>
      </rPr>
      <t>.  Оформление исполнительной документации по МР.</t>
    </r>
  </si>
  <si>
    <r>
      <t>ПИР, СМР, прочие, не ограничиваясь перечисленным: прокладка и монтаж кабеля по борозде скобами с устройством и заделкой борозды с финишной отделкой от установленных ЯР/ШАН и патч-панелей/плинтов,  с учетом стоимости разделки,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с учетом стоимости кабеля, коннектора/розетки RJ, прочих материалов</t>
    </r>
    <r>
      <rPr>
        <sz val="9"/>
        <color theme="1" tint="4.9989318521683403E-2"/>
        <rFont val="Consolas"/>
        <family val="3"/>
        <charset val="204"/>
      </rPr>
      <t>.  Оформление исполнительной документации по МР.</t>
    </r>
  </si>
  <si>
    <r>
      <t xml:space="preserve">ПИР, СМР, прочие, не ограничиваясь перечисленным: прокладка и монтаж кабеля по трубе/коробу/кабельному каналу/гофре от установленных ЯР/ШАН и патч-панелей/плинтов,  с учетом стоимости разделки,  с устройством, при необходимости, отверстий в стенах  с заделкой (с установкой гильз), маркировка имиджевыми идентификационными наклейками, </t>
    </r>
    <r>
      <rPr>
        <sz val="9"/>
        <color rgb="FFFF0000"/>
        <rFont val="Consolas"/>
        <family val="3"/>
        <charset val="204"/>
      </rPr>
      <t>с учетом стоимости кабеля, коннектора/розетки RJ, прочих материалов</t>
    </r>
    <r>
      <rPr>
        <sz val="9"/>
        <color theme="1" tint="4.9989318521683403E-2"/>
        <rFont val="Consolas"/>
        <family val="3"/>
        <charset val="204"/>
      </rPr>
      <t>.  Оформление исполнительной документации по МР.</t>
    </r>
  </si>
  <si>
    <r>
      <t xml:space="preserve">ПИР, СМР, прочие, не ограничиваясь перечисленным: прокладка трубы/короба/кабельного канала/гофры, прокладка и монтаж кабеля по трубе/коробу/кабельному каналу/гофре от установленных ЯР/ШАН и патч-панелей/плинтов,  с учетом стоимости разделки,  с устройством, при необходимости, отверстий в стенах с заделкой (с установкой гильз),маркировка имиджевыми идентификационными наклейками, </t>
    </r>
    <r>
      <rPr>
        <sz val="9"/>
        <color rgb="FFFF0000"/>
        <rFont val="Consolas"/>
        <family val="3"/>
        <charset val="204"/>
      </rPr>
      <t>с учетом стоимости трубы/короба, гофры, кабеля, коннектора/розетки RJ, прочих материалов</t>
    </r>
    <r>
      <rPr>
        <sz val="9"/>
        <color theme="1" tint="4.9989318521683403E-2"/>
        <rFont val="Consolas"/>
        <family val="3"/>
        <charset val="204"/>
      </rPr>
      <t>.  Оформление исполнительной документации по МР.</t>
    </r>
  </si>
  <si>
    <r>
      <t xml:space="preserve">ПИР, СМР, прочие, не ограничиваясь перечисленным: прокладка и монтаж кабеля по стене,потолку (в т.ч. по фасаду)  от установленных АК и ТАН ,с учетом стоимости разделки,  устройством отверстий в стенах  (с установкой гильз),  заделкой, маркировка имиджевыми идентификационными наклейками, </t>
    </r>
    <r>
      <rPr>
        <sz val="9"/>
        <color rgb="FFFF0000"/>
        <rFont val="Consolas"/>
        <family val="3"/>
        <charset val="204"/>
      </rPr>
      <t>с учетом стоимости кабеля, коннектора/розетки F-типа, прочих материалов.</t>
    </r>
    <r>
      <rPr>
        <sz val="9"/>
        <color theme="1" tint="4.9989318521683403E-2"/>
        <rFont val="Consolas"/>
        <family val="3"/>
        <charset val="204"/>
      </rPr>
      <t xml:space="preserve">  Оформление исполнительной документации по МР.</t>
    </r>
  </si>
  <si>
    <r>
      <t>ПИР, СМР, прочие, не ограничиваясь перечисленным: прокладка и монтаж кабеля по борозде скобами с устройством и заделкой борозды с финишной отделкой от установленных АК и ТАН,  с учетом стоимости разделки,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 xml:space="preserve">с учетом стоимости кабеля, коннектора/розетки F-типа, прочих материалов.  </t>
    </r>
    <r>
      <rPr>
        <sz val="9"/>
        <color theme="1" tint="4.9989318521683403E-2"/>
        <rFont val="Consolas"/>
        <family val="3"/>
        <charset val="204"/>
      </rPr>
      <t>Оформление исполнительной документации по МР.</t>
    </r>
  </si>
  <si>
    <r>
      <t>ПИР, СМР, прочие, не ограничиваясь перечисленным: прокладка и монтаж кабеля по трубе/коробу/кабельному каналу/гофре от установленных АК и ТАН,  с учетом стоимости разделки,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 xml:space="preserve"> с учетом стоимости кабеля, коннектора/розетки F-типа, прочих материалов. </t>
    </r>
    <r>
      <rPr>
        <sz val="9"/>
        <color theme="1" tint="4.9989318521683403E-2"/>
        <rFont val="Consolas"/>
        <family val="3"/>
        <charset val="204"/>
      </rPr>
      <t xml:space="preserve"> Оформление исполнительной документации по МР.</t>
    </r>
  </si>
  <si>
    <r>
      <t>ПИР, СМР, прочие, не ограничиваясь перечисленным: прокладка трубы/короба/кабельного канала/гофры, прокладка и монтаж кабеля по трубе/коробу/кабельному каналу/гофре от установленных АК и ТАН,  с учетом стоимости разделки,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с учетом стоимости трубы/короба, кабельного канала,гофры, кабеля, коннектора/розетки F-типа, прочих материалов.</t>
    </r>
    <r>
      <rPr>
        <sz val="9"/>
        <color theme="1" tint="4.9989318521683403E-2"/>
        <rFont val="Consolas"/>
        <family val="3"/>
        <charset val="204"/>
      </rPr>
      <t xml:space="preserve">  Оформление исполнительной документации по МР.</t>
    </r>
  </si>
  <si>
    <r>
      <t xml:space="preserve">ПИР, СМР, прочие, не ограничиваясь перечисленным: прокладка и монтаж кабеля по стене,потолку (в т.ч. по фасаду)  от установленных ОРК ,с учетом стоимости разделки,  устройством отверстий в стенах  (с установкой гильз),  заделкой, маркировка имиджевыми идентификационными наклейками, </t>
    </r>
    <r>
      <rPr>
        <sz val="9"/>
        <color rgb="FFFF0000"/>
        <rFont val="Consolas"/>
        <family val="3"/>
        <charset val="204"/>
      </rPr>
      <t xml:space="preserve">с учетом стоимости кабеля, коннекторов/розетки ОРА, прочих материалов. </t>
    </r>
    <r>
      <rPr>
        <sz val="9"/>
        <color theme="1" tint="4.9989318521683403E-2"/>
        <rFont val="Consolas"/>
        <family val="3"/>
        <charset val="204"/>
      </rPr>
      <t xml:space="preserve"> Оформление исполнительной документации по МР.</t>
    </r>
  </si>
  <si>
    <r>
      <t>ПИР, СМР, прочие, не ограничиваясь перечисленным: прокладка и монтаж кабеля по борозде скобами с устройством и заделкой борозды с финишной отделкой от установленных ОРК,  с учетом стоимости разделки,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 xml:space="preserve">с учетом стоимости кабеля, коннекторов/розетки ОРА, прочих материалов. </t>
    </r>
    <r>
      <rPr>
        <sz val="9"/>
        <color theme="1" tint="4.9989318521683403E-2"/>
        <rFont val="Consolas"/>
        <family val="3"/>
        <charset val="204"/>
      </rPr>
      <t xml:space="preserve"> Оформление исполнительной документации по МР.</t>
    </r>
  </si>
  <si>
    <r>
      <t xml:space="preserve">ПИР, СМР, прочие, не ограничиваясь перечисленным: прокладка и монтаж кабеля по трубе/коробу/кабельному каналу/гофре от установленных ОРК,  с учетом стоимости разделки,  с устройством, при необходимости, отверстий в стенах  с заделкой (с установкой гильз), маркировка имиджевыми идентификационными наклейками, </t>
    </r>
    <r>
      <rPr>
        <sz val="9"/>
        <color rgb="FFFF0000"/>
        <rFont val="Consolas"/>
        <family val="3"/>
        <charset val="204"/>
      </rPr>
      <t xml:space="preserve">с учетом стоимости кабеля, коннекторов/розетки ОРА, прочих материалов. </t>
    </r>
    <r>
      <rPr>
        <sz val="9"/>
        <color theme="1" tint="4.9989318521683403E-2"/>
        <rFont val="Consolas"/>
        <family val="3"/>
        <charset val="204"/>
      </rPr>
      <t xml:space="preserve"> Оформление исполнительной документации по МР.</t>
    </r>
  </si>
  <si>
    <r>
      <t xml:space="preserve">ПИР, СМР, прочие, не ограничиваясь перечисленным: прокладка трубы/короба/кабельного канала/гофры, прокладка и монтаж кабеля по трубе/коробу/гофре от установленных ОРК,  с учетом стоимости разделки,  с устройством, при необходимости, отверстий в стенах с заделкой (с установкой гильз),маркировка имиджевыми идентификационными наклейками, </t>
    </r>
    <r>
      <rPr>
        <sz val="9"/>
        <color rgb="FFFF0000"/>
        <rFont val="Consolas"/>
        <family val="3"/>
        <charset val="204"/>
      </rPr>
      <t>с учетом стоимости трубы/короба, кабельного канала,гофры, кабеля, коннекторов/розетки ОРА, прочих материалов.</t>
    </r>
    <r>
      <rPr>
        <sz val="9"/>
        <color theme="1" tint="4.9989318521683403E-2"/>
        <rFont val="Consolas"/>
        <family val="3"/>
        <charset val="204"/>
      </rPr>
      <t xml:space="preserve">  Оформление исполнительной документации по МР.</t>
    </r>
  </si>
  <si>
    <r>
      <t>СМР, ПИР, прочие, не ограничиваясь перечисленным  (включая материалы): Установка видеокамеры в кожух.Разметка и сверление отверстий.Установка кронштейна для монтажа камеры видеонаблюдения, включая завинчивание винтов до проектного усилия. Крепление камеры видеонаблюдения к кронштейну.Установка монтажной коробки (степень защиты неменее IP 54, число выводов 4-6).Заделка разъемов  UTP и подключения питания (в т.ч.POE-инжектор).Подключение камеры  к порту коммутатора.Настройка изображения и фокуса.Маркировка имиджевыми идентификационными наклейками.</t>
    </r>
    <r>
      <rPr>
        <sz val="9"/>
        <color rgb="FFFF0000"/>
        <rFont val="Consolas"/>
        <family val="3"/>
        <charset val="204"/>
      </rPr>
      <t xml:space="preserve">Без прокладки и стоимости кабеля. Без стоимости оборудования. </t>
    </r>
    <r>
      <rPr>
        <sz val="9"/>
        <color theme="1" tint="4.9989318521683403E-2"/>
        <rFont val="Consolas"/>
        <family val="3"/>
        <charset val="204"/>
      </rPr>
      <t>Оформление разрешительных документов, исполнительной документации по МР.</t>
    </r>
  </si>
  <si>
    <r>
      <t xml:space="preserve">СМР, ПИР, прочие, не ограничиваясь перечисленным (включая материалы): Установка и монтаж вызывной панели/модуля замка на основной или второй двери. Монтаж блока питания. Подключение к блоку питания. Монтаж и подключение контроллера (при необходимости). Маркировка имиджевыми идентификационными наклейками. Оформление разрешительных документов, исполнительной документации по МР. </t>
    </r>
    <r>
      <rPr>
        <sz val="9"/>
        <color rgb="FFFF0000"/>
        <rFont val="Consolas"/>
        <family val="3"/>
        <charset val="204"/>
      </rPr>
      <t>Без стоимости оборудования. Прокладка и монтаж кабелей данной расценкой не учитываются.</t>
    </r>
  </si>
  <si>
    <r>
      <t xml:space="preserve">ПИР, СМР: Включено, не ограничиваясь перечисленным: прокладка и монтаж провода, штробы, заделки и др., маркировка имиджевыми идентификационными наклейками, </t>
    </r>
    <r>
      <rPr>
        <sz val="9"/>
        <color rgb="FFFF0000"/>
        <rFont val="Consolas"/>
        <family val="3"/>
        <charset val="204"/>
      </rPr>
      <t xml:space="preserve">с учетом стоимости всех материалов, </t>
    </r>
    <r>
      <rPr>
        <sz val="9"/>
        <color theme="1" tint="4.9989318521683403E-2"/>
        <rFont val="Consolas"/>
        <family val="3"/>
        <charset val="204"/>
      </rPr>
      <t>прочие, оформление разрешительных документов, исполнительной документации по МР.</t>
    </r>
  </si>
  <si>
    <r>
      <t xml:space="preserve">ПИР,СМР: Монтаж АРМ  в составе: видеорегистратор, монитор, блок бесперебойного питания, клавиатура и/или мышь, включая их установку, подключение, настройку, тестирование; установку дополнительных жестких дисков в видеорегистратор; установку видеоразветвителей, видеоусилителей, квадраторов, подключение электропитания оборудования, маркировка имиджевыми идентификационными наклейками, </t>
    </r>
    <r>
      <rPr>
        <sz val="9"/>
        <color rgb="FFFF0000"/>
        <rFont val="Consolas"/>
        <family val="3"/>
        <charset val="204"/>
      </rPr>
      <t>с учетом стоимости всех материалов.</t>
    </r>
  </si>
  <si>
    <r>
      <t xml:space="preserve">СМР, ПИР, прочие, в том числе ПНР, не ограничиваясь перечисленным: установка опорных конструкций (мачта) на крыше, стене или парапете(включая стоимость мачты с креплениями), монтаж антенны на мачте с юстировкой, монтаж выносного приемника, заземление, монтаж, настройка базовой станции, прокладка коаксиального кабеля от антенны до выносного приемника,маркировка имиджевыми идентификационными наклейками, </t>
    </r>
    <r>
      <rPr>
        <sz val="9"/>
        <color rgb="FFFF0000"/>
        <rFont val="Consolas"/>
        <family val="3"/>
        <charset val="204"/>
      </rPr>
      <t>включая стоимость основных и вспомогательных материалов</t>
    </r>
    <r>
      <rPr>
        <sz val="9"/>
        <color theme="1" tint="4.9989318521683403E-2"/>
        <rFont val="Consolas"/>
        <family val="3"/>
        <charset val="204"/>
      </rPr>
      <t xml:space="preserve">. 
</t>
    </r>
    <r>
      <rPr>
        <sz val="9"/>
        <color rgb="FFFF0000"/>
        <rFont val="Consolas"/>
        <family val="3"/>
        <charset val="204"/>
      </rPr>
      <t xml:space="preserve">Стоимость оборудования данной расценкой не учтена. Прокладка и монтаж кабелей типа ВВГ и типа UTP/FTP данной расценкой не учтены. </t>
    </r>
  </si>
  <si>
    <r>
      <t>СМР, ПИР, прочие, в том числе ПНР, не ограничиваясь перечисленным:  монтаж антенны на существующей мачте/стойке с юстировкой, монтаж выносного приемника, заземление, монтаж, настройка базовой станции, прокладка коаксиального кабеля от антенны до выносного приемника, маркировка имиджевыми идентификационными наклейками,</t>
    </r>
    <r>
      <rPr>
        <sz val="9"/>
        <color rgb="FFFF0000"/>
        <rFont val="Consolas"/>
        <family val="3"/>
        <charset val="204"/>
      </rPr>
      <t>включая стоимость основных и вспомогательных материалов. 
Стоимость оборудования данной расценкой не учтена. Прокладка и монтаж кабелей типа ВВГ и типа UTP/FTP данной расценкой не учтены.</t>
    </r>
  </si>
  <si>
    <r>
      <t>ПИР, СМР, прочие, не ограничиваясь перечисленным:полный комплекс работ по установке БС сбора телеметрических показаний,маркировка имиджевыми идентификационными наклейками,</t>
    </r>
    <r>
      <rPr>
        <sz val="9"/>
        <color rgb="FFFF0000"/>
        <rFont val="Consolas"/>
        <family val="3"/>
        <charset val="204"/>
      </rPr>
      <t>с учетом стоимости материалов и комплектующих. Не включено: Оконечное оборудование.</t>
    </r>
  </si>
  <si>
    <r>
      <t>СМР, ПИР, прочие, не ограничиваясь перечисленным  (включая стоимость кабеля и прочих материалов): Прокладка кабеля по шахте лифта, маркировка имиджевыми идентификационными наклейками,</t>
    </r>
    <r>
      <rPr>
        <sz val="9"/>
        <color rgb="FFFF0000"/>
        <rFont val="Consolas"/>
        <family val="3"/>
        <charset val="204"/>
      </rPr>
      <t xml:space="preserve"> с учетом стоимости разделки,  устройством отверстий в стенах  (с установкой гильз),  заделкой,  стоимости кабеля, пачкорда, всех материалов</t>
    </r>
    <r>
      <rPr>
        <sz val="9"/>
        <color theme="1" tint="4.9989318521683403E-2"/>
        <rFont val="Consolas"/>
        <family val="3"/>
        <charset val="204"/>
      </rPr>
      <t xml:space="preserve">. Проверка состояния изоляции кабеля до и после прокладки. Маркировка. </t>
    </r>
    <r>
      <rPr>
        <sz val="9"/>
        <color rgb="FFFF0000"/>
        <rFont val="Consolas"/>
        <family val="3"/>
        <charset val="204"/>
      </rPr>
      <t>Без стоимости оборудования</t>
    </r>
    <r>
      <rPr>
        <sz val="9"/>
        <color theme="1" tint="4.9989318521683403E-2"/>
        <rFont val="Consolas"/>
        <family val="3"/>
        <charset val="204"/>
      </rPr>
      <t>. Оформление разрешительных документов, исполнительной документации по МР.</t>
    </r>
  </si>
  <si>
    <r>
      <t xml:space="preserve">Позиция предусматривает: 
- установку и крепление оборудования; 
- прокладку и крепление проводов и кабелей, используемых при монтаже оборудования; 
- разделку и подключение проводов и кабелей к системе электропитания; 
- маркировку оборудования (согласно требованиям Заказчика); 
- юстировка направленной антенны; 
- включение электропитания и тестирование согласно требованиям производителя оборудования, указанным в инструкции по монтажу; 
-пуско-наладочные работы, включая программирование точки;
- маркировка имиджевыми идентификационными наклейками.  
</t>
    </r>
    <r>
      <rPr>
        <sz val="9"/>
        <color rgb="FFFF0000"/>
        <rFont val="Consolas"/>
        <family val="3"/>
        <charset val="204"/>
      </rPr>
      <t>Цена включает затраты на кабели питания, заземления, кабель UTP/FTP длинной до 100 метров, гофру и металлорукав для защиты этого кабеля, расходные материалы и доставку.</t>
    </r>
  </si>
  <si>
    <r>
      <t xml:space="preserve">Позиция предусматривает: 
- установку и крепление оборудования; 
- прокладку и крепление проводов и кабелей, используемых при монтаже оборудования; 
- разделку и подключение проводов и кабелей к системе электропитания; 
- маркировку оборудования (согласно требованиям Заказчика); 
- юстировка направленной антенны; 
- включение электропитания и тестирование согласно требованиям производителя оборудования, указанным в инструкции по монтажу; 
-пуско-наладочные работы, включая программирование точки;
-маркировка имиджевыми идентификационными наклейками. 
</t>
    </r>
    <r>
      <rPr>
        <sz val="9"/>
        <color rgb="FFFF0000"/>
        <rFont val="Consolas"/>
        <family val="3"/>
        <charset val="204"/>
      </rPr>
      <t>Цена включает затраты на кабели питания, заземления, кабель UTP/FTP длинной до 100 метров, гофру и металлорукав для защиты этого кабеля, расходные материалы и доставку.</t>
    </r>
  </si>
  <si>
    <r>
      <t xml:space="preserve">ПИР, СМР, прочие, не ограничиваясь перечисленным: прокладка и монтаж кабеля по трубе/коробу/кабельному каналу/гофре от установленного оборудования,  с учетом стоимости разделки,  с устройством, при необходимости, отверстий в стенах  с заделкой (с установкой гильз), маркировка имиджевыми идентификационными наклейками,  </t>
    </r>
    <r>
      <rPr>
        <sz val="9"/>
        <color rgb="FFFF0000"/>
        <rFont val="Consolas"/>
        <family val="3"/>
        <charset val="204"/>
      </rPr>
      <t>с учетом стоимости кабеля, прочих материалов</t>
    </r>
    <r>
      <rPr>
        <sz val="9"/>
        <color theme="1" tint="4.9989318521683403E-2"/>
        <rFont val="Consolas"/>
        <family val="3"/>
        <charset val="204"/>
      </rPr>
      <t>.  Оформление исполнительной документации по МР.</t>
    </r>
  </si>
  <si>
    <r>
      <t xml:space="preserve">ПИР, СМР:  Включено, не ограничиваясь перечисленным:  прокладка и монтаж провода с устройством и заделкой борозды с финишной отделкой,маркировка имиджевыми идентификационными наклейками, с </t>
    </r>
    <r>
      <rPr>
        <sz val="9"/>
        <color rgb="FFFF0000"/>
        <rFont val="Consolas"/>
        <family val="3"/>
        <charset val="204"/>
      </rPr>
      <t>учетом стоимости всех материалов, прочие</t>
    </r>
    <r>
      <rPr>
        <sz val="9"/>
        <color theme="1" tint="4.9989318521683403E-2"/>
        <rFont val="Consolas"/>
        <family val="3"/>
        <charset val="204"/>
      </rPr>
      <t>, оформление разрешительных документов, исполнительной документации по МР.</t>
    </r>
  </si>
  <si>
    <r>
      <t>ПИР,СМР. Включено, не ограничиваясь перечисленным: прокладка и монтаж провода, труб, коробов, кабель-каналов и др.,</t>
    </r>
    <r>
      <rPr>
        <sz val="9"/>
        <color rgb="FFFF0000"/>
        <rFont val="Consolas"/>
        <family val="3"/>
        <charset val="204"/>
      </rPr>
      <t xml:space="preserve"> </t>
    </r>
    <r>
      <rPr>
        <sz val="9"/>
        <color theme="1" tint="4.9989318521683403E-2"/>
        <rFont val="Consolas"/>
        <family val="3"/>
        <charset val="204"/>
      </rPr>
      <t>маркировка имиджевыми идентификационными наклейками,</t>
    </r>
    <r>
      <rPr>
        <sz val="9"/>
        <color rgb="FFFF0000"/>
        <rFont val="Consolas"/>
        <family val="3"/>
        <charset val="204"/>
      </rPr>
      <t>с учетом стоимости всех материалов</t>
    </r>
    <r>
      <rPr>
        <sz val="9"/>
        <color theme="1" tint="4.9989318521683403E-2"/>
        <rFont val="Consolas"/>
        <family val="3"/>
        <charset val="204"/>
      </rPr>
      <t>, прочие, оформление разрешительных документов, исполнительной документации по МР.</t>
    </r>
  </si>
  <si>
    <r>
      <t>ПИР,СМР. Включено, не ограничиваясь перечисленным:  прокладка и монтаж провода, маркировка имиджевыми идентификационными наклейками,</t>
    </r>
    <r>
      <rPr>
        <sz val="9"/>
        <color rgb="FFFF0000"/>
        <rFont val="Consolas"/>
        <family val="3"/>
        <charset val="204"/>
      </rPr>
      <t>с учетом стоимости всех материалов</t>
    </r>
    <r>
      <rPr>
        <sz val="9"/>
        <color theme="1" tint="4.9989318521683403E-2"/>
        <rFont val="Consolas"/>
        <family val="3"/>
        <charset val="204"/>
      </rPr>
      <t>, прочие, оформление разрешительных документов, исполнительной документации по МР.</t>
    </r>
  </si>
  <si>
    <r>
      <t xml:space="preserve">ПИР, СМР.Позиция предусматривает: 
- установку и крепление оборудования; 
- прокладку и крепление проводов и кабелей, используемых при монтаже оборудования; 
- разделку и подключение проводов и кабелей к системе электропитания; 
- маркировку оборудования (согласно требованиям Заказчика); 
- включение электропитания и тестирование согласно требованиям производителя оборудования, указанным в инструкции по монтажу; 
-пуско-наладочные работы;
- маркировка имиджевыми идентификационными наклейками.
</t>
    </r>
    <r>
      <rPr>
        <sz val="9"/>
        <color rgb="FFFF0000"/>
        <rFont val="Consolas"/>
        <family val="3"/>
        <charset val="204"/>
      </rPr>
      <t>Цена включает затраты на кабели питания, заземления, кабель UTP/FTP длинной до 100 метров, гофру и металлорукав для защиты этого кабеля, расходные материалы и доставку.</t>
    </r>
  </si>
  <si>
    <r>
      <t xml:space="preserve">ПИР, СМР, прочие, не ограничиваясь перечисленным: прокладка и монтаж кабеля по трубе/коробу/кабельному каналу/гофре/металлорукаве с устройством, при необходимости, отверстий в стенах с заделкой (с установкой гильз), маркировка имиджевыми идентификационными наклейками, </t>
    </r>
    <r>
      <rPr>
        <sz val="9"/>
        <color rgb="FFFF0000"/>
        <rFont val="Consolas"/>
        <family val="3"/>
        <charset val="204"/>
      </rPr>
      <t>с учетом стоимости кабеля до 5х16 мм2,  прочих материалов</t>
    </r>
    <r>
      <rPr>
        <sz val="9"/>
        <color theme="1" tint="4.9989318521683403E-2"/>
        <rFont val="Consolas"/>
        <family val="3"/>
        <charset val="204"/>
      </rPr>
      <t>.  Проверка состояния изоляции кабеля до и после прокладки. Маркировка. Присоединение к зажимам жил и проводов. Измерения. Оформление исполнительной документации по МР.</t>
    </r>
  </si>
  <si>
    <r>
      <t>ПИР, СМР, прочие, не ограничиваясь перечисленным: прокладка трубы/короба/кабельного канала/гофры, прокладка и монтаж кабеля по трубе/коробу/кабельному каналу/гофре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с учетом стоимости трубы/короба/кабельного канала/гофры, кабеля до 5х16 мм2,  прочих материалов.</t>
    </r>
    <r>
      <rPr>
        <sz val="9"/>
        <color theme="1" tint="4.9989318521683403E-2"/>
        <rFont val="Consolas"/>
        <family val="3"/>
        <charset val="204"/>
      </rPr>
      <t xml:space="preserve"> Проверка состояния изоляции кабеля до и после прокладки. Маркировка. Присоединение к зажимам жил и проводов. Измерения.  Оформление исполнительной документации по МР.</t>
    </r>
  </si>
  <si>
    <r>
      <t xml:space="preserve">ПИР, СМР, прочие, не ограничиваясь перечисленным: прокладка металлорукава, прокладка и монтаж кабеля по металлорукаву с устройством, при необходимости, отверстий в стенах  (с установкой гильз),  с заделкой, маркировка имиджевыми идентификационными наклейками, </t>
    </r>
    <r>
      <rPr>
        <sz val="9"/>
        <color rgb="FFFF0000"/>
        <rFont val="Consolas"/>
        <family val="3"/>
        <charset val="204"/>
      </rPr>
      <t>с учетом стоимости металлорукава, кабеля до 5х16 мм2,  прочих материалов</t>
    </r>
    <r>
      <rPr>
        <sz val="9"/>
        <color theme="1" tint="4.9989318521683403E-2"/>
        <rFont val="Consolas"/>
        <family val="3"/>
        <charset val="204"/>
      </rPr>
      <t>. Проверка состояния изоляции кабеля до и после прокладки. Маркировка. Присоединение к зажимам жил и проводов. Измерения.  Оформление исполнительной документации по МР.</t>
    </r>
  </si>
  <si>
    <r>
      <t>ПИР, СМР, прочие, не ограничиваясь перечисленным: прокладка и монтаж кабеля скобами по стене,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 xml:space="preserve"> с учетом стоимости кабеля до 5х16 мм2, прочих материалов.</t>
    </r>
    <r>
      <rPr>
        <sz val="9"/>
        <color theme="1" tint="4.9989318521683403E-2"/>
        <rFont val="Consolas"/>
        <family val="3"/>
        <charset val="204"/>
      </rPr>
      <t xml:space="preserve"> Проверка состояния изоляции кабеля до и после прокладки. Маркировка. Присоединение к зажимам жил и проводов. Измерения. Оформление исполнительной документации по МР.</t>
    </r>
  </si>
  <si>
    <r>
      <t>ПИР, СМР, прочие, не ограничиваясь перечисленным: прокладка и монтаж кабеля по борозде с креплением скобами, с устройством и заделкой борозды с финишной отделкой,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с учетом стоимости кабеля до 5х16 мм2, прочих материалов.</t>
    </r>
    <r>
      <rPr>
        <sz val="9"/>
        <color theme="1" tint="4.9989318521683403E-2"/>
        <rFont val="Consolas"/>
        <family val="3"/>
        <charset val="204"/>
      </rPr>
      <t xml:space="preserve"> Проверка состояния изоляции кабеля до и после прокладки. Маркировка. Присоединение к зажимам жил и проводов. Измерения. Оформление исполнительной документации по МР.</t>
    </r>
  </si>
  <si>
    <r>
      <t>ПИР, СМР, прочие, не ограничиваясь перечисленным: прокладка трубы/короба/кабельного канала/гофры,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с учетом стоимости трубы/короба, гофры, прочих материалов</t>
    </r>
    <r>
      <rPr>
        <sz val="9"/>
        <color theme="1" tint="4.9989318521683403E-2"/>
        <rFont val="Consolas"/>
        <family val="3"/>
        <charset val="204"/>
      </rPr>
      <t>.  Оформление исполнительной документации по МР.</t>
    </r>
  </si>
  <si>
    <r>
      <t>ПИР, СМР, прочие, не ограничиваясь перечисленным: прокладка металлорукава, с устройством, при необходимости, отверстий в стенах с заделкой (с установкой гильз), маркировка имиджевыми идентификационными наклейками,</t>
    </r>
    <r>
      <rPr>
        <sz val="9"/>
        <color rgb="FFFF0000"/>
        <rFont val="Consolas"/>
        <family val="3"/>
        <charset val="204"/>
      </rPr>
      <t xml:space="preserve">с учетом стоимости металлорукава, прочих материалов. </t>
    </r>
    <r>
      <rPr>
        <sz val="9"/>
        <color theme="1" tint="4.9989318521683403E-2"/>
        <rFont val="Consolas"/>
        <family val="3"/>
        <charset val="204"/>
      </rPr>
      <t xml:space="preserve"> Оформление исполнительной документации по МР.</t>
    </r>
  </si>
  <si>
    <r>
      <t>ПИР, СМР, прочие, не ограничиваясь перечисленным:  устройство, при необходимости, отверстия в стене с  заделкой (с установкой гильз),  устройство гнезд для подрозетников с восстановлением отделки стен,маркировка имиджевыми идентификационными наклейками,</t>
    </r>
    <r>
      <rPr>
        <sz val="9"/>
        <color rgb="FFFF0000"/>
        <rFont val="Consolas"/>
        <family val="3"/>
        <charset val="204"/>
      </rPr>
      <t xml:space="preserve"> с учетом стоимости  всех материалов</t>
    </r>
    <r>
      <rPr>
        <sz val="9"/>
        <color theme="1" tint="4.9989318521683403E-2"/>
        <rFont val="Consolas"/>
        <family val="3"/>
        <charset val="204"/>
      </rPr>
      <t xml:space="preserve">. Проверка. Опробование. Оформление исполнительной документации по МР.
</t>
    </r>
    <r>
      <rPr>
        <sz val="9"/>
        <color rgb="FFFF0000"/>
        <rFont val="Consolas"/>
        <family val="3"/>
        <charset val="204"/>
      </rPr>
      <t>Для установки на абонентской сети вместо блока розеток для вывода абонетских линий в дх.</t>
    </r>
  </si>
  <si>
    <r>
      <t xml:space="preserve">ПИР, СМР: монтаж и расключение разветвительной (монтажной) коробки, </t>
    </r>
    <r>
      <rPr>
        <sz val="9"/>
        <color rgb="FFFF0000"/>
        <rFont val="Consolas"/>
        <family val="3"/>
        <charset val="204"/>
      </rPr>
      <t>с учетом стоимости всех материалов.
Не применяется на абонентской сети совместно с УР 1000-1021</t>
    </r>
  </si>
  <si>
    <t>Примечание: прокладка в трубах подразумевает обязательное использование труб ПНД d=20 мм  и типа-тяжёлые с протяжкой (зондом), при прокладке под заливку полов и т.п.</t>
  </si>
  <si>
    <r>
      <t xml:space="preserve">Прокладка ПВХ трубы d=25 мм </t>
    </r>
    <r>
      <rPr>
        <b/>
        <sz val="9"/>
        <color rgb="FFFF0000"/>
        <rFont val="Consolas"/>
        <family val="3"/>
        <charset val="204"/>
      </rPr>
      <t>в грунте</t>
    </r>
    <r>
      <rPr>
        <sz val="9"/>
        <color rgb="FF000000"/>
        <rFont val="Consolas"/>
        <family val="3"/>
        <charset val="204"/>
      </rPr>
      <t xml:space="preserve"> </t>
    </r>
  </si>
  <si>
    <r>
      <t>СМР, ПИР, прочие, не ограничиваясь перечисленным  (включая материалы): Установка видеокамеры в кожух.Разметка и сверление отверстий.Установка кронштейна для монтажа камеры видеонаблюдения, включая завинчивание винтов до проектного усилия. Крепление камеры видеонаблюдения к кронштейну.Установка монтажной коробки (степень защиты не менее IP 54, число выводов 4-6).Заделка разъемов  UTP и подключения питания (в т.ч.POE-инжектор).Подключение камеры  к порту коммутатора.Настройка изображения и фокуса.Маркировка имиджевыми идентификационными наклейками.</t>
    </r>
    <r>
      <rPr>
        <sz val="9"/>
        <color rgb="FFFF0000"/>
        <rFont val="Consolas"/>
        <family val="3"/>
        <charset val="204"/>
      </rPr>
      <t>Без прокладки и стоимости кабеля. Без стоимости оборудования.</t>
    </r>
    <r>
      <rPr>
        <sz val="9"/>
        <color theme="1" tint="4.9989318521683403E-2"/>
        <rFont val="Consolas"/>
        <family val="3"/>
        <charset val="204"/>
      </rPr>
      <t xml:space="preserve"> Оформление разрешительных документов, исполнительной документации по МР.</t>
    </r>
  </si>
  <si>
    <t>403.4</t>
  </si>
  <si>
    <t>403.4.1</t>
  </si>
  <si>
    <t>403.4.2</t>
  </si>
  <si>
    <t>до 9U</t>
  </si>
  <si>
    <t>до 15U</t>
  </si>
  <si>
    <t>Монтаж телекоммуникационного  шкафа (антивандального ) для сетей FTTB :</t>
  </si>
  <si>
    <t>100.6.1</t>
  </si>
  <si>
    <t>без СМР на установку ТШ</t>
  </si>
  <si>
    <r>
      <t xml:space="preserve"> - для Домохозяйств, охваченных по технологии FTTB с проникновением  </t>
    </r>
    <r>
      <rPr>
        <b/>
        <sz val="8"/>
        <color rgb="FFFF0000"/>
        <rFont val="Consolas"/>
        <family val="3"/>
        <charset val="204"/>
      </rPr>
      <t xml:space="preserve">до 30 % </t>
    </r>
  </si>
  <si>
    <t xml:space="preserve"> 100.7.1</t>
  </si>
  <si>
    <r>
      <t xml:space="preserve"> - для Домохозяйств, охваченных по технологии FTTB с проникновением  </t>
    </r>
    <r>
      <rPr>
        <b/>
        <sz val="8"/>
        <color rgb="FFFF0000"/>
        <rFont val="Consolas"/>
        <family val="3"/>
        <charset val="204"/>
      </rPr>
      <t xml:space="preserve">от 30% до 50 % </t>
    </r>
  </si>
  <si>
    <t>100.9.1</t>
  </si>
  <si>
    <r>
      <t xml:space="preserve"> - для Домохозяйств, охваченных по технологии FTTB с проникновением  </t>
    </r>
    <r>
      <rPr>
        <b/>
        <sz val="8"/>
        <color rgb="FFFF0000"/>
        <rFont val="Consolas"/>
        <family val="3"/>
        <charset val="204"/>
      </rPr>
      <t xml:space="preserve">от 50% до 80 % </t>
    </r>
  </si>
  <si>
    <t>100.10.1</t>
  </si>
  <si>
    <r>
      <t xml:space="preserve"> - для Домохозяйств, охваченных по технологии FTTB с проникновением  </t>
    </r>
    <r>
      <rPr>
        <b/>
        <sz val="8"/>
        <color rgb="FFFF0000"/>
        <rFont val="Consolas"/>
        <family val="3"/>
        <charset val="204"/>
      </rPr>
      <t xml:space="preserve">выше 80 % </t>
    </r>
  </si>
  <si>
    <t>101.6.1</t>
  </si>
  <si>
    <r>
      <t xml:space="preserve"> - для Домохозяйств, охваченных по технологии FTTB с проникновением </t>
    </r>
    <r>
      <rPr>
        <b/>
        <sz val="8"/>
        <color theme="1"/>
        <rFont val="Consolas"/>
        <family val="3"/>
        <charset val="204"/>
      </rPr>
      <t xml:space="preserve"> </t>
    </r>
    <r>
      <rPr>
        <b/>
        <sz val="8"/>
        <color rgb="FFFF0000"/>
        <rFont val="Consolas"/>
        <family val="3"/>
        <charset val="204"/>
      </rPr>
      <t xml:space="preserve">до 30 % </t>
    </r>
  </si>
  <si>
    <t>101.7.1</t>
  </si>
  <si>
    <t>101.9.1</t>
  </si>
  <si>
    <r>
      <t xml:space="preserve"> - для Домохозяйств, охваченных по технологии FTTB с проникновением  </t>
    </r>
    <r>
      <rPr>
        <b/>
        <sz val="8"/>
        <color rgb="FFFF0000"/>
        <rFont val="Consolas"/>
        <family val="3"/>
        <charset val="204"/>
      </rPr>
      <t>от 50% до 80 %</t>
    </r>
    <r>
      <rPr>
        <b/>
        <sz val="8"/>
        <color theme="1"/>
        <rFont val="Consolas"/>
        <family val="3"/>
        <charset val="204"/>
      </rPr>
      <t xml:space="preserve"> </t>
    </r>
  </si>
  <si>
    <t>101.10.1</t>
  </si>
  <si>
    <r>
      <t xml:space="preserve"> - для Домохозяйств, охваченных по технологии FTTB с проникновением  </t>
    </r>
    <r>
      <rPr>
        <b/>
        <sz val="8"/>
        <color rgb="FFFF0000"/>
        <rFont val="Consolas"/>
        <family val="3"/>
        <charset val="204"/>
      </rPr>
      <t>выше 80 %</t>
    </r>
    <r>
      <rPr>
        <b/>
        <sz val="8"/>
        <color theme="1"/>
        <rFont val="Consolas"/>
        <family val="3"/>
        <charset val="204"/>
      </rPr>
      <t xml:space="preserve"> </t>
    </r>
  </si>
  <si>
    <t>104.1.1</t>
  </si>
  <si>
    <r>
      <t xml:space="preserve"> </t>
    </r>
    <r>
      <rPr>
        <sz val="8"/>
        <color rgb="FF000000"/>
        <rFont val="Consolas"/>
        <family val="3"/>
        <charset val="204"/>
      </rPr>
      <t xml:space="preserve">- для Домохозяйств, охваченных по технологии FTTB </t>
    </r>
    <r>
      <rPr>
        <b/>
        <sz val="8"/>
        <color rgb="FFFF0000"/>
        <rFont val="Consolas"/>
        <family val="3"/>
        <charset val="204"/>
      </rPr>
      <t>1 GE</t>
    </r>
    <r>
      <rPr>
        <sz val="8"/>
        <color rgb="FF000000"/>
        <rFont val="Consolas"/>
        <family val="3"/>
        <charset val="204"/>
      </rPr>
      <t xml:space="preserve"> с проникновением</t>
    </r>
    <r>
      <rPr>
        <b/>
        <sz val="8"/>
        <color rgb="FF000000"/>
        <rFont val="Consolas"/>
        <family val="3"/>
        <charset val="204"/>
      </rPr>
      <t xml:space="preserve"> </t>
    </r>
    <r>
      <rPr>
        <b/>
        <sz val="8"/>
        <color rgb="FFFF0000"/>
        <rFont val="Consolas"/>
        <family val="3"/>
        <charset val="204"/>
      </rPr>
      <t xml:space="preserve"> до 30 %</t>
    </r>
    <r>
      <rPr>
        <b/>
        <sz val="8"/>
        <color rgb="FF000000"/>
        <rFont val="Consolas"/>
        <family val="3"/>
        <charset val="204"/>
      </rPr>
      <t xml:space="preserve"> </t>
    </r>
  </si>
  <si>
    <t>104.2.1</t>
  </si>
  <si>
    <r>
      <t xml:space="preserve"> - для Домохозяйств, охваченных по технологии FTTB </t>
    </r>
    <r>
      <rPr>
        <b/>
        <sz val="8"/>
        <color rgb="FFFF0000"/>
        <rFont val="Consolas"/>
        <family val="3"/>
        <charset val="204"/>
      </rPr>
      <t>1 GE</t>
    </r>
    <r>
      <rPr>
        <sz val="8"/>
        <color rgb="FF000000"/>
        <rFont val="Consolas"/>
        <family val="3"/>
        <charset val="204"/>
      </rPr>
      <t xml:space="preserve"> с проникновением  </t>
    </r>
    <r>
      <rPr>
        <b/>
        <sz val="8"/>
        <color rgb="FFFF0000"/>
        <rFont val="Consolas"/>
        <family val="3"/>
        <charset val="204"/>
      </rPr>
      <t xml:space="preserve">от 30% до 50 % </t>
    </r>
  </si>
  <si>
    <t>104.4.1</t>
  </si>
  <si>
    <r>
      <t xml:space="preserve"> - для Домохозяйств, охваченных по технологии FTTB 1 GE с проникновением  </t>
    </r>
    <r>
      <rPr>
        <b/>
        <sz val="8"/>
        <color rgb="FFFF0000"/>
        <rFont val="Consolas"/>
        <family val="3"/>
        <charset val="204"/>
      </rPr>
      <t xml:space="preserve">от 50% до 80 % </t>
    </r>
  </si>
  <si>
    <t>104.5.1</t>
  </si>
  <si>
    <r>
      <t xml:space="preserve"> - для Домохозяйств, охваченных по технологии FTTB </t>
    </r>
    <r>
      <rPr>
        <b/>
        <sz val="8"/>
        <color rgb="FFFF0000"/>
        <rFont val="Consolas"/>
        <family val="3"/>
        <charset val="204"/>
      </rPr>
      <t>1 GE</t>
    </r>
    <r>
      <rPr>
        <sz val="8"/>
        <color rgb="FF000000"/>
        <rFont val="Consolas"/>
        <family val="3"/>
        <charset val="204"/>
      </rPr>
      <t xml:space="preserve"> с проникновением  </t>
    </r>
    <r>
      <rPr>
        <b/>
        <sz val="8"/>
        <color rgb="FFFF0000"/>
        <rFont val="Consolas"/>
        <family val="3"/>
        <charset val="204"/>
      </rPr>
      <t xml:space="preserve">выше 80 % </t>
    </r>
  </si>
  <si>
    <t>105.1.1</t>
  </si>
  <si>
    <r>
      <t xml:space="preserve"> - для Домохозяйств, охваченных по технологии FTTB </t>
    </r>
    <r>
      <rPr>
        <b/>
        <sz val="8"/>
        <color rgb="FFFF0000"/>
        <rFont val="Consolas"/>
        <family val="3"/>
        <charset val="204"/>
      </rPr>
      <t>1 GE</t>
    </r>
    <r>
      <rPr>
        <sz val="8"/>
        <color rgb="FF000000"/>
        <rFont val="Consolas"/>
        <family val="3"/>
        <charset val="204"/>
      </rPr>
      <t xml:space="preserve"> с проникновением  </t>
    </r>
    <r>
      <rPr>
        <b/>
        <sz val="8"/>
        <color rgb="FFFF0000"/>
        <rFont val="Consolas"/>
        <family val="3"/>
        <charset val="204"/>
      </rPr>
      <t xml:space="preserve">до 30 % </t>
    </r>
  </si>
  <si>
    <t>105.2.1</t>
  </si>
  <si>
    <r>
      <t xml:space="preserve"> - для Домохозяйств, охваченных по технологии FTTB </t>
    </r>
    <r>
      <rPr>
        <b/>
        <sz val="8"/>
        <color rgb="FFFF0000"/>
        <rFont val="Consolas"/>
        <family val="3"/>
        <charset val="204"/>
      </rPr>
      <t>1 GE</t>
    </r>
    <r>
      <rPr>
        <sz val="8"/>
        <color rgb="FF000000"/>
        <rFont val="Consolas"/>
        <family val="3"/>
        <charset val="204"/>
      </rPr>
      <t xml:space="preserve"> с проникновением  </t>
    </r>
    <r>
      <rPr>
        <b/>
        <sz val="8"/>
        <color rgb="FFFF0000"/>
        <rFont val="Consolas"/>
        <family val="3"/>
        <charset val="204"/>
      </rPr>
      <t>от 30% до 50 %</t>
    </r>
    <r>
      <rPr>
        <sz val="8"/>
        <color rgb="FF000000"/>
        <rFont val="Consolas"/>
        <family val="3"/>
        <charset val="204"/>
      </rPr>
      <t xml:space="preserve"> </t>
    </r>
  </si>
  <si>
    <t>105.4.1</t>
  </si>
  <si>
    <r>
      <t xml:space="preserve"> - для Домохозяйств, охваченных по технологии FTTB </t>
    </r>
    <r>
      <rPr>
        <b/>
        <sz val="8"/>
        <color rgb="FFFF0000"/>
        <rFont val="Consolas"/>
        <family val="3"/>
        <charset val="204"/>
      </rPr>
      <t>1 GE</t>
    </r>
    <r>
      <rPr>
        <sz val="8"/>
        <color rgb="FF000000"/>
        <rFont val="Consolas"/>
        <family val="3"/>
        <charset val="204"/>
      </rPr>
      <t xml:space="preserve"> с проникновением  </t>
    </r>
    <r>
      <rPr>
        <b/>
        <sz val="8"/>
        <color rgb="FFFF0000"/>
        <rFont val="Consolas"/>
        <family val="3"/>
        <charset val="204"/>
      </rPr>
      <t xml:space="preserve">от 50% до 80 % </t>
    </r>
  </si>
  <si>
    <t>105.5.1</t>
  </si>
  <si>
    <t>Примечания.</t>
  </si>
  <si>
    <t>для комплексных решений с полным набором услуг</t>
  </si>
  <si>
    <t>для СПД по технологии FTTB (без полного набора комплексных услуг)</t>
  </si>
  <si>
    <r>
      <t>Устройство абонентской разводки кабелем типа UTP/FTP Cat 5 (</t>
    </r>
    <r>
      <rPr>
        <b/>
        <sz val="9"/>
        <color rgb="FFFF0000"/>
        <rFont val="Consolas"/>
        <family val="3"/>
        <charset val="204"/>
      </rPr>
      <t>до 4 пар</t>
    </r>
    <r>
      <rPr>
        <sz val="9"/>
        <color theme="1"/>
        <rFont val="Consolas"/>
        <family val="3"/>
        <charset val="204"/>
      </rPr>
      <t xml:space="preserve">)  </t>
    </r>
    <r>
      <rPr>
        <b/>
        <sz val="9"/>
        <color theme="1"/>
        <rFont val="Consolas"/>
        <family val="3"/>
        <charset val="204"/>
      </rPr>
      <t>по стене/потолку с креплением скобами,монтажными площадками</t>
    </r>
    <r>
      <rPr>
        <sz val="9"/>
        <color theme="1"/>
        <rFont val="Consolas"/>
        <family val="3"/>
        <charset val="204"/>
      </rPr>
      <t xml:space="preserve"> (открытая проводка) с оконцовкой коннектором типа RJ или розеткой типа RJ</t>
    </r>
  </si>
  <si>
    <r>
      <t>Устройство абонентской разводки кабелем типа UTP/FTP Cat 5 (</t>
    </r>
    <r>
      <rPr>
        <b/>
        <sz val="9"/>
        <color rgb="FFFF0000"/>
        <rFont val="Consolas"/>
        <family val="3"/>
        <charset val="204"/>
      </rPr>
      <t>до 4 пар</t>
    </r>
    <r>
      <rPr>
        <sz val="9"/>
        <color theme="1"/>
        <rFont val="Consolas"/>
        <family val="3"/>
        <charset val="204"/>
      </rPr>
      <t xml:space="preserve">)  по стене </t>
    </r>
    <r>
      <rPr>
        <b/>
        <sz val="9"/>
        <color theme="1"/>
        <rFont val="Consolas"/>
        <family val="3"/>
        <charset val="204"/>
      </rPr>
      <t>с устройством и заделкой борозды</t>
    </r>
    <r>
      <rPr>
        <sz val="9"/>
        <color theme="1"/>
        <rFont val="Consolas"/>
        <family val="3"/>
        <charset val="204"/>
      </rPr>
      <t xml:space="preserve"> с креплением  скобами (скрытая проводка) с оконцовкой коннектором типа RJ или розеткой типа RJ</t>
    </r>
  </si>
  <si>
    <r>
      <t>Устройство абонентской разводки кабелем типа UTP/FTP Cat 5 (</t>
    </r>
    <r>
      <rPr>
        <b/>
        <sz val="9"/>
        <color rgb="FFFF0000"/>
        <rFont val="Consolas"/>
        <family val="3"/>
        <charset val="204"/>
      </rPr>
      <t>до 4 пар</t>
    </r>
    <r>
      <rPr>
        <sz val="9"/>
        <color theme="1"/>
        <rFont val="Consolas"/>
        <family val="3"/>
        <charset val="204"/>
      </rPr>
      <t xml:space="preserve">)  </t>
    </r>
    <r>
      <rPr>
        <b/>
        <sz val="9"/>
        <color theme="1"/>
        <rFont val="Consolas"/>
        <family val="3"/>
        <charset val="204"/>
      </rPr>
      <t>по установленным конструкциям</t>
    </r>
    <r>
      <rPr>
        <sz val="9"/>
        <color theme="1"/>
        <rFont val="Consolas"/>
        <family val="3"/>
        <charset val="204"/>
      </rPr>
      <t xml:space="preserve"> (труба</t>
    </r>
    <r>
      <rPr>
        <b/>
        <vertAlign val="superscript"/>
        <sz val="9"/>
        <color rgb="FFFF0000"/>
        <rFont val="Consolas"/>
        <family val="3"/>
        <charset val="204"/>
      </rPr>
      <t>17</t>
    </r>
    <r>
      <rPr>
        <sz val="9"/>
        <color theme="1"/>
        <rFont val="Consolas"/>
        <family val="3"/>
        <charset val="204"/>
      </rPr>
      <t>/короб/кабельный канал/гофра) с оконцовкой коннектором типа RJ или розеткой типа RJ</t>
    </r>
  </si>
  <si>
    <r>
      <t>Устройство абонентской разводки кабелем типа UTP/FTP Cat 5 (</t>
    </r>
    <r>
      <rPr>
        <b/>
        <sz val="9"/>
        <color rgb="FFFF0000"/>
        <rFont val="Consolas"/>
        <family val="3"/>
        <charset val="204"/>
      </rPr>
      <t>до 4 пар</t>
    </r>
    <r>
      <rPr>
        <sz val="9"/>
        <color theme="1"/>
        <rFont val="Consolas"/>
        <family val="3"/>
        <charset val="204"/>
      </rPr>
      <t xml:space="preserve">)  </t>
    </r>
    <r>
      <rPr>
        <b/>
        <sz val="9"/>
        <color theme="1"/>
        <rFont val="Consolas"/>
        <family val="3"/>
        <charset val="204"/>
      </rPr>
      <t>по конструкциям (труба</t>
    </r>
    <r>
      <rPr>
        <b/>
        <vertAlign val="superscript"/>
        <sz val="9"/>
        <color rgb="FFFF0000"/>
        <rFont val="Consolas"/>
        <family val="3"/>
        <charset val="204"/>
      </rPr>
      <t>17</t>
    </r>
    <r>
      <rPr>
        <b/>
        <sz val="9"/>
        <color theme="1"/>
        <rFont val="Consolas"/>
        <family val="3"/>
        <charset val="204"/>
      </rPr>
      <t>/короб/ кабельный канал/гофра) с их установкой</t>
    </r>
    <r>
      <rPr>
        <sz val="9"/>
        <color theme="1"/>
        <rFont val="Consolas"/>
        <family val="3"/>
        <charset val="204"/>
      </rPr>
      <t>, с оконцовкой коннектором типа RJ или розеткой типа RJ</t>
    </r>
  </si>
  <si>
    <r>
      <t xml:space="preserve">Установка, монтаж, настройка  видеокамеры </t>
    </r>
    <r>
      <rPr>
        <b/>
        <sz val="9"/>
        <color theme="1" tint="4.9989318521683403E-2"/>
        <rFont val="Consolas"/>
        <family val="3"/>
        <charset val="204"/>
      </rPr>
      <t xml:space="preserve">внутридомовой
</t>
    </r>
    <r>
      <rPr>
        <sz val="9"/>
        <color theme="1" tint="4.9989318521683403E-2"/>
        <rFont val="Consolas"/>
        <family val="3"/>
        <charset val="204"/>
      </rPr>
      <t>( в т.ч. и внутрилифтово</t>
    </r>
    <r>
      <rPr>
        <sz val="9"/>
        <rFont val="Consolas"/>
        <family val="3"/>
        <charset val="204"/>
      </rPr>
      <t xml:space="preserve">й) </t>
    </r>
  </si>
  <si>
    <r>
      <t xml:space="preserve">Монтаж пульта консъержа
</t>
    </r>
    <r>
      <rPr>
        <sz val="9"/>
        <color rgb="FFFF0000"/>
        <rFont val="Consolas"/>
        <family val="3"/>
        <charset val="204"/>
      </rPr>
      <t>применительно к УР 1035.</t>
    </r>
  </si>
  <si>
    <t>Установка вызывной панели (SIP) домофона или замка на основную/вторую дверь</t>
  </si>
  <si>
    <t>Установка розетки (220 В) 
(наружная, встроенная)</t>
  </si>
  <si>
    <t>Установка  розетки (типа RJ) 
(наружная, встроенная)</t>
  </si>
  <si>
    <t>Установка оптической розетки (ОРА) 
(наружная, встроенная)</t>
  </si>
  <si>
    <t>Установка оконечной (монтажной/распаечной) коробки
(наружная, встроенная)
(степень защиты не менее IP 54 )</t>
  </si>
  <si>
    <r>
      <t>ПИР  (включая предварительную рабочую документацию); СМР (</t>
    </r>
    <r>
      <rPr>
        <sz val="9"/>
        <color rgb="FFFF0000"/>
        <rFont val="Consolas"/>
        <family val="3"/>
        <charset val="204"/>
      </rPr>
      <t>включая материалы</t>
    </r>
    <r>
      <rPr>
        <sz val="9"/>
        <color theme="1"/>
        <rFont val="Consolas"/>
        <family val="3"/>
        <charset val="204"/>
      </rPr>
      <t xml:space="preserve">), </t>
    </r>
    <r>
      <rPr>
        <sz val="9"/>
        <color rgb="FF0070C0"/>
        <rFont val="Consolas"/>
        <family val="3"/>
        <charset val="204"/>
      </rPr>
      <t>гидроизоляция,восстановление зелёных зон, проезжей части и пешеходных дорожек</t>
    </r>
    <r>
      <rPr>
        <sz val="9"/>
        <color theme="1"/>
        <rFont val="Consolas"/>
        <family val="3"/>
        <charset val="204"/>
      </rPr>
      <t>,земельное дело, заказ и оплата топосъемки и согласований (при строительстве),заказ и оплата топосъемки исполнительной,сдача в надзорные органы ,оформление охранных зон линий связи, постановка на кадастровый учёт, оформление разрешительных документов,</t>
    </r>
    <r>
      <rPr>
        <sz val="9"/>
        <color rgb="FF0070C0"/>
        <rFont val="Consolas"/>
        <family val="3"/>
        <charset val="204"/>
      </rPr>
      <t>справки о выполнении ТУ от собственников инфраструктуры,</t>
    </r>
    <r>
      <rPr>
        <sz val="9"/>
        <color theme="1"/>
        <rFont val="Consolas"/>
        <family val="3"/>
        <charset val="204"/>
      </rPr>
      <t xml:space="preserve"> исполнительной документации по МР и РД
</t>
    </r>
    <r>
      <rPr>
        <sz val="9"/>
        <color rgb="FFFF0000"/>
        <rFont val="Consolas"/>
        <family val="3"/>
        <charset val="204"/>
      </rPr>
      <t>Примечание: УР № 908 не применяется совместно с УР № 905</t>
    </r>
  </si>
  <si>
    <r>
      <t xml:space="preserve">ПИР (включая предварительную рабочую документацию);СМР </t>
    </r>
    <r>
      <rPr>
        <sz val="9"/>
        <color rgb="FFFF0000"/>
        <rFont val="Consolas"/>
        <family val="3"/>
        <charset val="204"/>
      </rPr>
      <t>(включая стоимость укосин, подпор)</t>
    </r>
    <r>
      <rPr>
        <sz val="9"/>
        <color theme="1"/>
        <rFont val="Consolas"/>
        <family val="3"/>
        <charset val="204"/>
      </rPr>
      <t xml:space="preserve">: земляные работы; </t>
    </r>
    <r>
      <rPr>
        <sz val="9"/>
        <color rgb="FF0070C0"/>
        <rFont val="Consolas"/>
        <family val="3"/>
        <charset val="204"/>
      </rPr>
      <t>подрезка крон деревьев,</t>
    </r>
    <r>
      <rPr>
        <sz val="9"/>
        <color theme="1"/>
        <rFont val="Consolas"/>
        <family val="3"/>
        <charset val="204"/>
      </rPr>
      <t xml:space="preserve">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учёт,сдача в надзорные органы,оформление разрешительных документов,</t>
    </r>
    <r>
      <rPr>
        <sz val="9"/>
        <color rgb="FF0070C0"/>
        <rFont val="Consolas"/>
        <family val="3"/>
        <charset val="204"/>
      </rPr>
      <t>справки о выполнении ТУ от собственников инфраструктуры;</t>
    </r>
    <r>
      <rPr>
        <sz val="9"/>
        <color theme="1"/>
        <rFont val="Consolas"/>
        <family val="3"/>
        <charset val="204"/>
      </rPr>
      <t xml:space="preserve"> исполнительной документации по МР и РД. </t>
    </r>
  </si>
  <si>
    <r>
      <t xml:space="preserve">Сварка/переварка оптических волокон в ВОК
</t>
    </r>
    <r>
      <rPr>
        <sz val="9"/>
        <color rgb="FFFF0000"/>
        <rFont val="Consolas"/>
        <family val="3"/>
        <charset val="204"/>
      </rPr>
      <t>(применяется только на  существующей кабельной линии,не применяется совместно с УР №№ 100-199 и 200-299)</t>
    </r>
  </si>
  <si>
    <r>
      <t xml:space="preserve">Сварка/переварка ОВ оконечных устройств (ODF) 
</t>
    </r>
    <r>
      <rPr>
        <sz val="9"/>
        <color rgb="FFFF0000"/>
        <rFont val="Consolas"/>
        <family val="3"/>
        <charset val="204"/>
      </rPr>
      <t>(не применяется совместно с любыми УР на прокладку ВОК,не применяется совместно с УР №№ 100-199 и 200-299)</t>
    </r>
  </si>
  <si>
    <r>
      <t xml:space="preserve">ёмкостью </t>
    </r>
    <r>
      <rPr>
        <sz val="9"/>
        <color rgb="FFFF0000"/>
        <rFont val="Consolas"/>
        <family val="3"/>
        <charset val="204"/>
      </rPr>
      <t>свыше 10 пар</t>
    </r>
  </si>
  <si>
    <r>
      <t>ПИР (включая предварительную рабочую документацию); СМР, включая строительство горизонтальных участков трубостоек между подъездами (при необходимости, определяемой проектными решениями); восстановление отделки поверхностей; прокладку и монтаж кабеля по трубостойкам; бирки и наклейки, расшивку кабелей на патч-панели/плинты с двух сторон; монтаж муфт распределительных,монтаж КБ/КЯ/ЯР/КРТ, укомплектованных патч-панелями/плинтами (со стоимостью КБ/КЯ/ЯР/КРТ; патч-панелей/плинтов),монтаж проходных коробок под распределительные муфты.</t>
    </r>
    <r>
      <rPr>
        <sz val="9"/>
        <color rgb="FFFF0000"/>
        <rFont val="Consolas"/>
        <family val="3"/>
        <charset val="204"/>
      </rPr>
      <t xml:space="preserve"> Со стоимостью всех материалов, включая прочие затраты</t>
    </r>
    <r>
      <rPr>
        <sz val="9"/>
        <color theme="1"/>
        <rFont val="Consolas"/>
        <family val="3"/>
        <charset val="204"/>
      </rPr>
      <t>,исполнительная документация по МР.</t>
    </r>
  </si>
  <si>
    <r>
      <t>ёмкостью</t>
    </r>
    <r>
      <rPr>
        <b/>
        <sz val="9"/>
        <color theme="1"/>
        <rFont val="Consolas"/>
        <family val="3"/>
        <charset val="204"/>
      </rPr>
      <t xml:space="preserve"> </t>
    </r>
    <r>
      <rPr>
        <b/>
        <sz val="9"/>
        <color rgb="FFFF0000"/>
        <rFont val="Consolas"/>
        <family val="3"/>
        <charset val="204"/>
      </rPr>
      <t>до 10 пар</t>
    </r>
  </si>
  <si>
    <t xml:space="preserve">Раздел 4. Дополнительные удельные расценки на виды работ для строительства телекоммуникационной инфраструктуры для оказания комплекса услуг </t>
  </si>
  <si>
    <t xml:space="preserve">Удельные расценки (УР) на строительство телекоммуникационной инфраструктуры для оказания комплекса услуг на объектах нового строительства и реконструкции в РБ-2 этап     </t>
  </si>
  <si>
    <t>РАЗДЕЛ IV. Техническое задание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</si>
</sst>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36">
    <numFmt numFmtId="43" formatCode="_-* #,##0.00\ _₽_-;\-* #,##0.00\ _₽_-;_-* &quot;-&quot;??\ _₽_-;_-@_-"/>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 00\ 00"/>
    <numFmt numFmtId="169" formatCode="_(* #,##0_);_(* \(#,##0\);_(* &quot;-&quot;??_);_(@_)"/>
    <numFmt numFmtId="170" formatCode="_(&quot;$&quot;* #,##0_);_(&quot;$&quot;* \(#,##0\);_(&quot;$&quot;* &quot;-&quot;_);_(@_)"/>
    <numFmt numFmtId="171" formatCode="_(&quot;$&quot;* #,##0.00_);_(&quot;$&quot;* \(#,##0.00\);_(&quot;$&quot;* &quot;-&quot;??_);_(@_)"/>
    <numFmt numFmtId="172" formatCode="###\ ##\ ##"/>
    <numFmt numFmtId="173" formatCode="0_);\(0\)"/>
    <numFmt numFmtId="174" formatCode="_ &quot;$&quot;* #,##0.00_ ;_ &quot;$&quot;* \-#,##0.00_ ;_ &quot;$&quot;* &quot;-&quot;??_ ;_ @_ "/>
    <numFmt numFmtId="175" formatCode="_-* #,##0_-;\-* #,##0_-;_-* &quot;-&quot;_-;_-@_-"/>
    <numFmt numFmtId="176" formatCode="d/m/yy"/>
    <numFmt numFmtId="177" formatCode="&quot;OS&quot;\ &quot;#&quot;\,&quot;#&quot;&quot;#&quot;0.00;[Red]\-&quot;OS&quot;\ &quot;#&quot;\,&quot;#&quot;&quot;#&quot;0.00"/>
    <numFmt numFmtId="178" formatCode="_ &quot;$&quot;* #,##0_ ;_ &quot;$&quot;* \-#,##0_ ;_ &quot;$&quot;* &quot;-&quot;_ ;_ @_ "/>
    <numFmt numFmtId="179" formatCode="_-* #,##0.00_-;\-* #,##0.00_-;_-* &quot;-&quot;??_-;_-@_-"/>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р_-;\-* #,##0.00_р_-;_-* &quot;-&quot;??_р_-;_-@_-"/>
    <numFmt numFmtId="198" formatCode="0.000"/>
  </numFmts>
  <fonts count="150">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b/>
      <sz val="10"/>
      <name val="Times New Roman"/>
      <family val="1"/>
      <charset val="204"/>
    </font>
    <font>
      <sz val="11"/>
      <color theme="1"/>
      <name val="Calibri"/>
      <family val="2"/>
      <scheme val="minor"/>
    </font>
    <font>
      <sz val="10"/>
      <color theme="1"/>
      <name val="Arial"/>
      <family val="2"/>
      <charset val="204"/>
    </font>
    <font>
      <b/>
      <sz val="10"/>
      <color theme="0"/>
      <name val="Times New Roman"/>
      <family val="1"/>
      <charset val="204"/>
    </font>
    <font>
      <b/>
      <sz val="14"/>
      <name val="Times New Roman"/>
      <family val="1"/>
      <charset val="204"/>
    </font>
    <font>
      <b/>
      <sz val="10"/>
      <name val="Arial Cyr"/>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sz val="11"/>
      <name val="Times New Roman"/>
      <family val="1"/>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b/>
      <sz val="11"/>
      <color rgb="FF3F3F3F"/>
      <name val="Calibri"/>
      <family val="2"/>
      <charset val="204"/>
      <scheme val="minor"/>
    </font>
    <font>
      <b/>
      <sz val="18"/>
      <color theme="0"/>
      <name val="Times New Roman"/>
      <family val="1"/>
      <charset val="204"/>
    </font>
    <font>
      <u/>
      <sz val="11"/>
      <color theme="10"/>
      <name val="Calibri"/>
      <family val="2"/>
      <charset val="204"/>
      <scheme val="minor"/>
    </font>
    <font>
      <sz val="14"/>
      <color theme="1"/>
      <name val="Calibri"/>
      <family val="2"/>
      <charset val="204"/>
      <scheme val="minor"/>
    </font>
    <font>
      <sz val="14"/>
      <color theme="1"/>
      <name val="Times New Roman"/>
      <family val="1"/>
      <charset val="204"/>
    </font>
    <font>
      <b/>
      <sz val="14"/>
      <color theme="1" tint="0.14999847407452621"/>
      <name val="Times New Roman"/>
      <family val="1"/>
      <charset val="204"/>
    </font>
    <font>
      <sz val="11"/>
      <color theme="1"/>
      <name val="Consolas"/>
      <family val="3"/>
      <charset val="204"/>
    </font>
    <font>
      <sz val="11"/>
      <color rgb="FFFF0000"/>
      <name val="Consolas"/>
      <family val="3"/>
      <charset val="204"/>
    </font>
    <font>
      <b/>
      <sz val="12"/>
      <color theme="1" tint="0.34998626667073579"/>
      <name val="Consolas"/>
      <family val="3"/>
      <charset val="204"/>
    </font>
    <font>
      <sz val="7"/>
      <color rgb="FF8C4799"/>
      <name val="Consolas"/>
      <family val="3"/>
      <charset val="204"/>
    </font>
    <font>
      <sz val="10"/>
      <name val="Consolas"/>
      <family val="3"/>
      <charset val="204"/>
    </font>
    <font>
      <sz val="10"/>
      <color theme="1"/>
      <name val="Consolas"/>
      <family val="3"/>
      <charset val="204"/>
    </font>
    <font>
      <sz val="8"/>
      <color rgb="FF3F3F3F"/>
      <name val="Consolas"/>
      <family val="3"/>
      <charset val="204"/>
    </font>
    <font>
      <sz val="8"/>
      <color theme="1" tint="4.9989318521683403E-2"/>
      <name val="Consolas"/>
      <family val="3"/>
      <charset val="204"/>
    </font>
    <font>
      <b/>
      <sz val="12"/>
      <color rgb="FFFF0000"/>
      <name val="Consolas"/>
      <family val="3"/>
      <charset val="204"/>
    </font>
    <font>
      <b/>
      <sz val="14"/>
      <color theme="1" tint="0.14999847407452621"/>
      <name val="Consolas"/>
      <family val="3"/>
      <charset val="204"/>
    </font>
    <font>
      <b/>
      <sz val="14"/>
      <color theme="0"/>
      <name val="Consolas"/>
      <family val="3"/>
      <charset val="204"/>
    </font>
    <font>
      <b/>
      <sz val="11"/>
      <color theme="1" tint="0.14999847407452621"/>
      <name val="Consolas"/>
      <family val="3"/>
      <charset val="204"/>
    </font>
    <font>
      <b/>
      <sz val="14"/>
      <color theme="3" tint="-0.249977111117893"/>
      <name val="Consolas"/>
      <family val="3"/>
      <charset val="204"/>
    </font>
    <font>
      <b/>
      <sz val="10"/>
      <color theme="1" tint="0.34998626667073579"/>
      <name val="Consolas"/>
      <family val="3"/>
      <charset val="204"/>
    </font>
    <font>
      <sz val="10"/>
      <color rgb="FFFF0000"/>
      <name val="Consolas"/>
      <family val="3"/>
      <charset val="204"/>
    </font>
    <font>
      <b/>
      <sz val="10"/>
      <color theme="1"/>
      <name val="Consolas"/>
      <family val="3"/>
      <charset val="204"/>
    </font>
    <font>
      <b/>
      <sz val="10"/>
      <color rgb="FFFF0000"/>
      <name val="Consolas"/>
      <family val="3"/>
      <charset val="204"/>
    </font>
    <font>
      <sz val="10"/>
      <color theme="1" tint="4.9989318521683403E-2"/>
      <name val="Consolas"/>
      <family val="3"/>
      <charset val="204"/>
    </font>
    <font>
      <b/>
      <sz val="10"/>
      <color theme="1" tint="4.9989318521683403E-2"/>
      <name val="Consolas"/>
      <family val="3"/>
      <charset val="204"/>
    </font>
    <font>
      <sz val="9"/>
      <color theme="1" tint="4.9989318521683403E-2"/>
      <name val="Consolas"/>
      <family val="3"/>
      <charset val="204"/>
    </font>
    <font>
      <b/>
      <sz val="9"/>
      <color theme="1" tint="4.9989318521683403E-2"/>
      <name val="Consolas"/>
      <family val="3"/>
      <charset val="204"/>
    </font>
    <font>
      <b/>
      <sz val="9"/>
      <color rgb="FFFF0000"/>
      <name val="Consolas"/>
      <family val="3"/>
      <charset val="204"/>
    </font>
    <font>
      <b/>
      <vertAlign val="superscript"/>
      <sz val="9"/>
      <color theme="1" tint="4.9989318521683403E-2"/>
      <name val="Consolas"/>
      <family val="3"/>
      <charset val="204"/>
    </font>
    <font>
      <b/>
      <sz val="12"/>
      <color theme="1"/>
      <name val="Consolas"/>
      <family val="3"/>
      <charset val="204"/>
    </font>
    <font>
      <b/>
      <sz val="10"/>
      <color rgb="FF000000"/>
      <name val="Consolas"/>
      <family val="3"/>
      <charset val="204"/>
    </font>
    <font>
      <b/>
      <sz val="11"/>
      <name val="Consolas"/>
      <family val="3"/>
      <charset val="204"/>
    </font>
    <font>
      <b/>
      <sz val="14"/>
      <color theme="1" tint="4.9989318521683403E-2"/>
      <name val="Consolas"/>
      <family val="3"/>
      <charset val="204"/>
    </font>
    <font>
      <b/>
      <sz val="10"/>
      <name val="Consolas"/>
      <family val="3"/>
      <charset val="204"/>
    </font>
    <font>
      <b/>
      <sz val="14"/>
      <color theme="8" tint="-0.499984740745262"/>
      <name val="Consolas"/>
      <family val="3"/>
      <charset val="204"/>
    </font>
    <font>
      <sz val="9"/>
      <name val="Consolas"/>
      <family val="3"/>
      <charset val="204"/>
    </font>
    <font>
      <b/>
      <sz val="14"/>
      <color rgb="FF006600"/>
      <name val="Consolas"/>
      <family val="3"/>
      <charset val="204"/>
    </font>
    <font>
      <b/>
      <sz val="11"/>
      <color theme="1" tint="4.9989318521683403E-2"/>
      <name val="Consolas"/>
      <family val="3"/>
      <charset val="204"/>
    </font>
    <font>
      <b/>
      <sz val="9"/>
      <name val="Consolas"/>
      <family val="3"/>
      <charset val="204"/>
    </font>
    <font>
      <sz val="9"/>
      <color theme="1"/>
      <name val="Consolas"/>
      <family val="3"/>
      <charset val="204"/>
    </font>
    <font>
      <sz val="14"/>
      <color theme="1"/>
      <name val="Consolas"/>
      <family val="3"/>
      <charset val="204"/>
    </font>
    <font>
      <b/>
      <sz val="12"/>
      <color rgb="FFC00000"/>
      <name val="Consolas"/>
      <family val="3"/>
      <charset val="204"/>
    </font>
    <font>
      <u/>
      <sz val="11"/>
      <color theme="10"/>
      <name val="Consolas"/>
      <family val="3"/>
      <charset val="204"/>
    </font>
    <font>
      <b/>
      <sz val="14"/>
      <name val="Consolas"/>
      <family val="3"/>
      <charset val="204"/>
    </font>
    <font>
      <sz val="14"/>
      <color rgb="FFC00000"/>
      <name val="Consolas"/>
      <family val="3"/>
      <charset val="204"/>
    </font>
    <font>
      <sz val="9"/>
      <color rgb="FF7030A0"/>
      <name val="Consolas"/>
      <family val="3"/>
      <charset val="204"/>
    </font>
    <font>
      <sz val="10"/>
      <color theme="4" tint="-0.249977111117893"/>
      <name val="Consolas"/>
      <family val="3"/>
      <charset val="204"/>
    </font>
    <font>
      <b/>
      <sz val="12"/>
      <color theme="1" tint="0.14999847407452621"/>
      <name val="Consolas"/>
      <family val="3"/>
      <charset val="204"/>
    </font>
    <font>
      <sz val="9"/>
      <color theme="1" tint="0.34998626667073579"/>
      <name val="Consolas"/>
      <family val="3"/>
      <charset val="204"/>
    </font>
    <font>
      <sz val="9"/>
      <color rgb="FFFF0000"/>
      <name val="Consolas"/>
      <family val="3"/>
      <charset val="204"/>
    </font>
    <font>
      <sz val="9"/>
      <color rgb="FF0070C0"/>
      <name val="Consolas"/>
      <family val="3"/>
      <charset val="204"/>
    </font>
    <font>
      <b/>
      <sz val="12"/>
      <color theme="1" tint="4.9989318521683403E-2"/>
      <name val="Consolas"/>
      <family val="3"/>
      <charset val="204"/>
    </font>
    <font>
      <sz val="11"/>
      <color theme="1" tint="4.9989318521683403E-2"/>
      <name val="Calibri"/>
      <family val="2"/>
      <charset val="204"/>
      <scheme val="minor"/>
    </font>
    <font>
      <b/>
      <sz val="9"/>
      <color theme="1"/>
      <name val="Consolas"/>
      <family val="3"/>
      <charset val="204"/>
    </font>
    <font>
      <sz val="9"/>
      <color rgb="FF000000"/>
      <name val="Consolas"/>
      <family val="3"/>
      <charset val="204"/>
    </font>
    <font>
      <b/>
      <sz val="9"/>
      <color rgb="FF000000"/>
      <name val="Consolas"/>
      <family val="3"/>
      <charset val="204"/>
    </font>
    <font>
      <i/>
      <sz val="9"/>
      <name val="Consolas"/>
      <family val="3"/>
      <charset val="204"/>
    </font>
    <font>
      <i/>
      <sz val="9"/>
      <color rgb="FFFF0000"/>
      <name val="Consolas"/>
      <family val="3"/>
      <charset val="204"/>
    </font>
    <font>
      <i/>
      <sz val="9"/>
      <color theme="1"/>
      <name val="Consolas"/>
      <family val="3"/>
      <charset val="204"/>
    </font>
    <font>
      <b/>
      <i/>
      <sz val="9"/>
      <color rgb="FFFF0000"/>
      <name val="Consolas"/>
      <family val="3"/>
      <charset val="204"/>
    </font>
    <font>
      <b/>
      <i/>
      <sz val="9"/>
      <color theme="1"/>
      <name val="Consolas"/>
      <family val="3"/>
      <charset val="204"/>
    </font>
    <font>
      <b/>
      <sz val="10"/>
      <color rgb="FF8C4799"/>
      <name val="Consolas"/>
      <family val="3"/>
      <charset val="204"/>
    </font>
    <font>
      <sz val="8"/>
      <color theme="1"/>
      <name val="Consolas"/>
      <family val="3"/>
      <charset val="204"/>
    </font>
    <font>
      <b/>
      <sz val="8"/>
      <color rgb="FFFF0000"/>
      <name val="Consolas"/>
      <family val="3"/>
      <charset val="204"/>
    </font>
    <font>
      <b/>
      <vertAlign val="superscript"/>
      <sz val="9"/>
      <color rgb="FFFF0000"/>
      <name val="Consolas"/>
      <family val="3"/>
      <charset val="204"/>
    </font>
    <font>
      <sz val="8"/>
      <color rgb="FFFF0000"/>
      <name val="Consolas"/>
      <family val="3"/>
      <charset val="204"/>
    </font>
    <font>
      <b/>
      <sz val="8"/>
      <color theme="1"/>
      <name val="Consolas"/>
      <family val="3"/>
      <charset val="204"/>
    </font>
    <font>
      <b/>
      <sz val="8"/>
      <color rgb="FF000000"/>
      <name val="Consolas"/>
      <family val="3"/>
      <charset val="204"/>
    </font>
    <font>
      <sz val="8"/>
      <color rgb="FF000000"/>
      <name val="Consolas"/>
      <family val="3"/>
      <charset val="204"/>
    </font>
    <font>
      <sz val="12"/>
      <color theme="1"/>
      <name val="Consolas"/>
      <family val="3"/>
      <charset val="204"/>
    </font>
  </fonts>
  <fills count="77">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rgb="FFF2F2F2"/>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3" tint="0.59999389629810485"/>
        <bgColor indexed="64"/>
      </patternFill>
    </fill>
    <fill>
      <patternFill patternType="solid">
        <fgColor rgb="FFD0E0E3"/>
        <bgColor indexed="64"/>
      </patternFill>
    </fill>
    <fill>
      <patternFill patternType="solid">
        <fgColor rgb="FFD9EAD3"/>
        <bgColor indexed="64"/>
      </patternFill>
    </fill>
    <fill>
      <patternFill patternType="solid">
        <fgColor rgb="FFFFF2CC"/>
        <bgColor indexed="64"/>
      </patternFill>
    </fill>
    <fill>
      <patternFill patternType="solid">
        <fgColor rgb="FFFFF2C9"/>
        <bgColor indexed="64"/>
      </patternFill>
    </fill>
    <fill>
      <patternFill patternType="solid">
        <fgColor theme="7" tint="0.59999389629810485"/>
        <bgColor indexed="64"/>
      </patternFill>
    </fill>
    <fill>
      <patternFill patternType="solid">
        <fgColor rgb="FFB67CC2"/>
        <bgColor indexed="64"/>
      </patternFill>
    </fill>
  </fills>
  <borders count="10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rgb="FF3F3F3F"/>
      </left>
      <right style="thin">
        <color rgb="FF3F3F3F"/>
      </right>
      <top style="thin">
        <color rgb="FF3F3F3F"/>
      </top>
      <bottom style="thin">
        <color rgb="FF3F3F3F"/>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style="dotted">
        <color auto="1"/>
      </left>
      <right style="dotted">
        <color auto="1"/>
      </right>
      <top/>
      <bottom/>
      <diagonal/>
    </border>
    <border>
      <left style="dotted">
        <color auto="1"/>
      </left>
      <right/>
      <top style="dotted">
        <color auto="1"/>
      </top>
      <bottom/>
      <diagonal/>
    </border>
    <border>
      <left/>
      <right/>
      <top style="dotted">
        <color auto="1"/>
      </top>
      <bottom/>
      <diagonal/>
    </border>
    <border>
      <left style="dotted">
        <color indexed="64"/>
      </left>
      <right style="dotted">
        <color indexed="64"/>
      </right>
      <top style="dotted">
        <color indexed="64"/>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0" tint="-0.24994659260841701"/>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bottom style="thin">
        <color theme="1" tint="0.499984740745262"/>
      </bottom>
      <diagonal/>
    </border>
    <border>
      <left style="thin">
        <color theme="0"/>
      </left>
      <right style="thin">
        <color theme="0"/>
      </right>
      <top style="thin">
        <color theme="0" tint="-0.499984740745262"/>
      </top>
      <bottom style="thin">
        <color theme="0"/>
      </bottom>
      <diagonal/>
    </border>
    <border>
      <left style="thin">
        <color theme="0"/>
      </left>
      <right style="thin">
        <color theme="0" tint="-0.499984740745262"/>
      </right>
      <top style="thin">
        <color theme="0" tint="-0.499984740745262"/>
      </top>
      <bottom style="thin">
        <color theme="0"/>
      </bottom>
      <diagonal/>
    </border>
    <border>
      <left style="thin">
        <color theme="0"/>
      </left>
      <right style="thin">
        <color theme="0" tint="-0.499984740745262"/>
      </right>
      <top style="thin">
        <color theme="0"/>
      </top>
      <bottom style="thin">
        <color theme="0"/>
      </bottom>
      <diagonal/>
    </border>
    <border>
      <left/>
      <right style="thin">
        <color theme="0"/>
      </right>
      <top style="thin">
        <color theme="0" tint="-0.499984740745262"/>
      </top>
      <bottom style="thin">
        <color theme="0"/>
      </bottom>
      <diagonal/>
    </border>
    <border>
      <left/>
      <right style="thin">
        <color theme="1" tint="0.499984740745262"/>
      </right>
      <top style="thin">
        <color theme="1" tint="0.499984740745262"/>
      </top>
      <bottom/>
      <diagonal/>
    </border>
    <border>
      <left/>
      <right style="thin">
        <color theme="1" tint="0.499984740745262"/>
      </right>
      <top/>
      <bottom style="thin">
        <color theme="1" tint="0.499984740745262"/>
      </bottom>
      <diagonal/>
    </border>
    <border>
      <left/>
      <right style="thin">
        <color theme="1" tint="0.499984740745262"/>
      </right>
      <top/>
      <bottom/>
      <diagonal/>
    </border>
    <border>
      <left/>
      <right/>
      <top style="thin">
        <color theme="1" tint="0.499984740745262"/>
      </top>
      <bottom style="thin">
        <color theme="1" tint="0.499984740745262"/>
      </bottom>
      <diagonal/>
    </border>
    <border>
      <left style="thin">
        <color theme="1" tint="0.499984740745262"/>
      </left>
      <right/>
      <top style="thin">
        <color theme="1" tint="0.499984740745262"/>
      </top>
      <bottom/>
      <diagonal/>
    </border>
    <border>
      <left/>
      <right/>
      <top/>
      <bottom style="thin">
        <color theme="0"/>
      </bottom>
      <diagonal/>
    </border>
    <border>
      <left/>
      <right style="double">
        <color theme="3" tint="-0.24994659260841701"/>
      </right>
      <top style="double">
        <color theme="3" tint="-0.24994659260841701"/>
      </top>
      <bottom/>
      <diagonal/>
    </border>
    <border>
      <left/>
      <right style="double">
        <color theme="3" tint="-0.24994659260841701"/>
      </right>
      <top style="dashed">
        <color theme="3" tint="-0.24994659260841701"/>
      </top>
      <bottom style="double">
        <color theme="3" tint="-0.24994659260841701"/>
      </bottom>
      <diagonal/>
    </border>
    <border>
      <left style="double">
        <color theme="0"/>
      </left>
      <right/>
      <top style="double">
        <color theme="0"/>
      </top>
      <bottom style="double">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tint="-0.24994659260841701"/>
      </right>
      <top/>
      <bottom/>
      <diagonal/>
    </border>
    <border>
      <left/>
      <right/>
      <top style="double">
        <color theme="0"/>
      </top>
      <bottom style="double">
        <color theme="0"/>
      </bottom>
      <diagonal/>
    </border>
    <border>
      <left/>
      <right/>
      <top style="double">
        <color theme="3" tint="-0.24994659260841701"/>
      </top>
      <bottom/>
      <diagonal/>
    </border>
    <border>
      <left/>
      <right/>
      <top style="dashed">
        <color theme="3" tint="-0.24994659260841701"/>
      </top>
      <bottom style="double">
        <color theme="3" tint="-0.24994659260841701"/>
      </bottom>
      <diagonal/>
    </border>
    <border>
      <left style="double">
        <color theme="1" tint="0.499984740745262"/>
      </left>
      <right/>
      <top style="double">
        <color theme="1" tint="0.499984740745262"/>
      </top>
      <bottom/>
      <diagonal/>
    </border>
    <border>
      <left/>
      <right/>
      <top style="double">
        <color theme="1" tint="0.499984740745262"/>
      </top>
      <bottom/>
      <diagonal/>
    </border>
    <border>
      <left/>
      <right style="double">
        <color theme="1" tint="0.499984740745262"/>
      </right>
      <top style="double">
        <color theme="1" tint="0.499984740745262"/>
      </top>
      <bottom/>
      <diagonal/>
    </border>
    <border>
      <left style="double">
        <color theme="1" tint="0.499984740745262"/>
      </left>
      <right/>
      <top/>
      <bottom style="double">
        <color theme="1" tint="0.499984740745262"/>
      </bottom>
      <diagonal/>
    </border>
    <border>
      <left/>
      <right/>
      <top/>
      <bottom style="double">
        <color theme="1" tint="0.499984740745262"/>
      </bottom>
      <diagonal/>
    </border>
    <border>
      <left/>
      <right style="double">
        <color theme="1" tint="0.499984740745262"/>
      </right>
      <top/>
      <bottom style="double">
        <color theme="1" tint="0.499984740745262"/>
      </bottom>
      <diagonal/>
    </border>
    <border>
      <left style="dashed">
        <color theme="0" tint="-0.499984740745262"/>
      </left>
      <right style="dashed">
        <color theme="0" tint="-0.499984740745262"/>
      </right>
      <top style="dashed">
        <color theme="0" tint="-0.499984740745262"/>
      </top>
      <bottom style="dashed">
        <color theme="0" tint="-0.499984740745262"/>
      </bottom>
      <diagonal/>
    </border>
    <border>
      <left style="dashed">
        <color theme="0" tint="-0.499984740745262"/>
      </left>
      <right/>
      <top style="dashed">
        <color theme="0" tint="-0.499984740745262"/>
      </top>
      <bottom style="dashed">
        <color theme="0" tint="-0.499984740745262"/>
      </bottom>
      <diagonal/>
    </border>
    <border>
      <left/>
      <right style="dashed">
        <color theme="0" tint="-0.499984740745262"/>
      </right>
      <top style="dashed">
        <color theme="0" tint="-0.499984740745262"/>
      </top>
      <bottom style="dashed">
        <color theme="0" tint="-0.499984740745262"/>
      </bottom>
      <diagonal/>
    </border>
    <border>
      <left style="dashed">
        <color theme="0" tint="-0.499984740745262"/>
      </left>
      <right style="dashed">
        <color theme="0" tint="-0.499984740745262"/>
      </right>
      <top style="dashed">
        <color theme="0" tint="-0.499984740745262"/>
      </top>
      <bottom/>
      <diagonal/>
    </border>
    <border>
      <left style="dashed">
        <color theme="0" tint="-0.499984740745262"/>
      </left>
      <right/>
      <top style="dashed">
        <color theme="0" tint="-0.499984740745262"/>
      </top>
      <bottom/>
      <diagonal/>
    </border>
    <border>
      <left/>
      <right style="dashed">
        <color theme="0" tint="-0.499984740745262"/>
      </right>
      <top style="dashed">
        <color theme="0" tint="-0.499984740745262"/>
      </top>
      <bottom/>
      <diagonal/>
    </border>
    <border>
      <left style="dashed">
        <color theme="1" tint="0.499984740745262"/>
      </left>
      <right style="dashed">
        <color theme="1" tint="0.499984740745262"/>
      </right>
      <top style="dashed">
        <color theme="1" tint="0.499984740745262"/>
      </top>
      <bottom style="dashed">
        <color theme="1" tint="0.499984740745262"/>
      </bottom>
      <diagonal/>
    </border>
    <border>
      <left style="dashed">
        <color theme="1" tint="0.499984740745262"/>
      </left>
      <right/>
      <top style="dashed">
        <color theme="1" tint="0.499984740745262"/>
      </top>
      <bottom style="dashed">
        <color theme="1" tint="0.499984740745262"/>
      </bottom>
      <diagonal/>
    </border>
    <border>
      <left/>
      <right style="dashed">
        <color theme="1" tint="0.499984740745262"/>
      </right>
      <top style="dashed">
        <color theme="1" tint="0.499984740745262"/>
      </top>
      <bottom style="dashed">
        <color theme="1" tint="0.499984740745262"/>
      </bottom>
      <diagonal/>
    </border>
    <border>
      <left style="dashed">
        <color theme="1" tint="0.499984740745262"/>
      </left>
      <right style="dashed">
        <color theme="1" tint="0.499984740745262"/>
      </right>
      <top style="dashed">
        <color theme="1" tint="0.499984740745262"/>
      </top>
      <bottom/>
      <diagonal/>
    </border>
    <border>
      <left style="dashed">
        <color theme="1" tint="0.499984740745262"/>
      </left>
      <right style="dashed">
        <color theme="1" tint="0.499984740745262"/>
      </right>
      <top/>
      <bottom style="dashed">
        <color theme="1" tint="0.499984740745262"/>
      </bottom>
      <diagonal/>
    </border>
    <border>
      <left style="dashed">
        <color theme="1" tint="0.499984740745262"/>
      </left>
      <right/>
      <top style="dashed">
        <color theme="1" tint="0.499984740745262"/>
      </top>
      <bottom/>
      <diagonal/>
    </border>
    <border>
      <left/>
      <right style="dashed">
        <color theme="1" tint="0.499984740745262"/>
      </right>
      <top style="dashed">
        <color theme="1" tint="0.499984740745262"/>
      </top>
      <bottom/>
      <diagonal/>
    </border>
    <border>
      <left style="dashed">
        <color theme="1" tint="0.499984740745262"/>
      </left>
      <right/>
      <top/>
      <bottom/>
      <diagonal/>
    </border>
    <border>
      <left/>
      <right style="dashed">
        <color theme="1" tint="0.499984740745262"/>
      </right>
      <top/>
      <bottom/>
      <diagonal/>
    </border>
    <border>
      <left style="dashed">
        <color theme="1" tint="0.499984740745262"/>
      </left>
      <right/>
      <top/>
      <bottom style="dashed">
        <color theme="1" tint="0.499984740745262"/>
      </bottom>
      <diagonal/>
    </border>
    <border>
      <left/>
      <right style="dashed">
        <color theme="1" tint="0.499984740745262"/>
      </right>
      <top/>
      <bottom style="dashed">
        <color theme="1" tint="0.499984740745262"/>
      </bottom>
      <diagonal/>
    </border>
    <border>
      <left style="dashed">
        <color theme="1" tint="0.499984740745262"/>
      </left>
      <right style="dashed">
        <color theme="1" tint="0.499984740745262"/>
      </right>
      <top/>
      <bottom/>
      <diagonal/>
    </border>
    <border>
      <left/>
      <right/>
      <top style="dashed">
        <color theme="0" tint="-0.499984740745262"/>
      </top>
      <bottom style="dashed">
        <color theme="0" tint="-0.499984740745262"/>
      </bottom>
      <diagonal/>
    </border>
    <border>
      <left/>
      <right style="thin">
        <color theme="1" tint="0.499984740745262"/>
      </right>
      <top style="dashed">
        <color theme="0" tint="-0.499984740745262"/>
      </top>
      <bottom style="dashed">
        <color theme="0" tint="-0.499984740745262"/>
      </bottom>
      <diagonal/>
    </border>
    <border>
      <left/>
      <right/>
      <top style="dashed">
        <color theme="0" tint="-0.499984740745262"/>
      </top>
      <bottom/>
      <diagonal/>
    </border>
    <border>
      <left style="dashed">
        <color theme="0" tint="-0.499984740745262"/>
      </left>
      <right style="dashed">
        <color theme="0" tint="-0.499984740745262"/>
      </right>
      <top/>
      <bottom style="dashed">
        <color theme="0" tint="-0.499984740745262"/>
      </bottom>
      <diagonal/>
    </border>
    <border>
      <left style="thin">
        <color theme="0"/>
      </left>
      <right style="thin">
        <color theme="0" tint="-0.499984740745262"/>
      </right>
      <top style="thin">
        <color theme="0"/>
      </top>
      <bottom/>
      <diagonal/>
    </border>
    <border>
      <left/>
      <right/>
      <top style="dashed">
        <color theme="1" tint="0.499984740745262"/>
      </top>
      <bottom/>
      <diagonal/>
    </border>
    <border>
      <left/>
      <right/>
      <top/>
      <bottom style="dashed">
        <color theme="1" tint="0.499984740745262"/>
      </bottom>
      <diagonal/>
    </border>
    <border>
      <left style="dashed">
        <color theme="0" tint="-0.499984740745262"/>
      </left>
      <right/>
      <top/>
      <bottom style="dashed">
        <color theme="0" tint="-0.499984740745262"/>
      </bottom>
      <diagonal/>
    </border>
    <border>
      <left/>
      <right style="dashed">
        <color theme="0" tint="-0.499984740745262"/>
      </right>
      <top/>
      <bottom style="dashed">
        <color theme="0" tint="-0.499984740745262"/>
      </bottom>
      <diagonal/>
    </border>
  </borders>
  <cellStyleXfs count="3231">
    <xf numFmtId="0" fontId="0" fillId="0" borderId="0"/>
    <xf numFmtId="9" fontId="1"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0" fontId="4" fillId="0" borderId="4" applyNumberFormat="0" applyFill="0" applyProtection="0">
      <alignment horizontal="center" vertical="center" wrapText="1"/>
    </xf>
    <xf numFmtId="0" fontId="3" fillId="0" borderId="0"/>
    <xf numFmtId="0" fontId="3" fillId="0" borderId="0"/>
    <xf numFmtId="0" fontId="3" fillId="0" borderId="0"/>
    <xf numFmtId="0" fontId="3" fillId="0" borderId="0"/>
    <xf numFmtId="0" fontId="3" fillId="0" borderId="0"/>
    <xf numFmtId="0" fontId="1" fillId="0" borderId="0"/>
    <xf numFmtId="0" fontId="6" fillId="0" borderId="0"/>
    <xf numFmtId="168" fontId="10" fillId="3" borderId="5" applyNumberFormat="0" applyFont="0" applyFill="0" applyBorder="0" applyAlignment="0" applyProtection="0">
      <alignment horizontal="center"/>
    </xf>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11" fillId="0" borderId="0"/>
    <xf numFmtId="0" fontId="11" fillId="0" borderId="0"/>
    <xf numFmtId="0" fontId="11" fillId="0" borderId="0"/>
    <xf numFmtId="0" fontId="11" fillId="0" borderId="0"/>
    <xf numFmtId="0" fontId="12" fillId="0" borderId="0"/>
    <xf numFmtId="0" fontId="12" fillId="0" borderId="0"/>
    <xf numFmtId="0" fontId="11" fillId="0" borderId="0"/>
    <xf numFmtId="0" fontId="4" fillId="0" borderId="0"/>
    <xf numFmtId="0" fontId="12" fillId="0" borderId="0"/>
    <xf numFmtId="0" fontId="11" fillId="0" borderId="0"/>
    <xf numFmtId="0" fontId="12" fillId="0" borderId="0"/>
    <xf numFmtId="0" fontId="13" fillId="0" borderId="0"/>
    <xf numFmtId="49" fontId="10" fillId="3" borderId="1" applyBorder="0">
      <alignment horizontal="center" wrapText="1"/>
    </xf>
    <xf numFmtId="0" fontId="14" fillId="3" borderId="1" applyBorder="0">
      <alignment horizontal="left" wrapText="1"/>
    </xf>
    <xf numFmtId="0" fontId="10" fillId="3" borderId="2" applyBorder="0">
      <alignment horizontal="center" textRotation="90" wrapText="1"/>
    </xf>
    <xf numFmtId="0" fontId="11"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4"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2" fillId="0" borderId="0"/>
    <xf numFmtId="0" fontId="12" fillId="0" borderId="0"/>
    <xf numFmtId="0" fontId="12" fillId="0" borderId="0"/>
    <xf numFmtId="0" fontId="12" fillId="0" borderId="0"/>
    <xf numFmtId="0" fontId="11" fillId="0" borderId="0"/>
    <xf numFmtId="0" fontId="12" fillId="0" borderId="0"/>
    <xf numFmtId="0" fontId="12" fillId="0" borderId="0"/>
    <xf numFmtId="0" fontId="11" fillId="0" borderId="0"/>
    <xf numFmtId="0" fontId="11" fillId="0" borderId="0"/>
    <xf numFmtId="0" fontId="11" fillId="0" borderId="0"/>
    <xf numFmtId="0" fontId="11" fillId="0" borderId="0"/>
    <xf numFmtId="0" fontId="15" fillId="0" borderId="0">
      <alignment vertical="center"/>
    </xf>
    <xf numFmtId="0" fontId="4" fillId="0" borderId="0"/>
    <xf numFmtId="0" fontId="12" fillId="0" borderId="0"/>
    <xf numFmtId="0" fontId="11" fillId="0" borderId="0"/>
    <xf numFmtId="0" fontId="12" fillId="0" borderId="0"/>
    <xf numFmtId="0" fontId="11" fillId="0" borderId="0"/>
    <xf numFmtId="0" fontId="12" fillId="0" borderId="0"/>
    <xf numFmtId="0" fontId="12" fillId="0" borderId="0"/>
    <xf numFmtId="0" fontId="4"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2" fillId="0" borderId="0"/>
    <xf numFmtId="0" fontId="11" fillId="0" borderId="0"/>
    <xf numFmtId="0" fontId="11" fillId="0" borderId="0"/>
    <xf numFmtId="0" fontId="11" fillId="0" borderId="0"/>
    <xf numFmtId="0" fontId="11" fillId="0" borderId="0"/>
    <xf numFmtId="0" fontId="4" fillId="0" borderId="0"/>
    <xf numFmtId="0" fontId="13" fillId="0" borderId="0"/>
    <xf numFmtId="0" fontId="11" fillId="0" borderId="0"/>
    <xf numFmtId="0" fontId="11" fillId="0" borderId="0"/>
    <xf numFmtId="0" fontId="11" fillId="0" borderId="0"/>
    <xf numFmtId="0" fontId="11" fillId="0" borderId="0"/>
    <xf numFmtId="0" fontId="12" fillId="0" borderId="0"/>
    <xf numFmtId="0" fontId="11" fillId="0" borderId="0"/>
    <xf numFmtId="0" fontId="12" fillId="0" borderId="0"/>
    <xf numFmtId="0" fontId="11" fillId="0" borderId="0"/>
    <xf numFmtId="0" fontId="12" fillId="0" borderId="0"/>
    <xf numFmtId="0" fontId="12" fillId="0" borderId="0"/>
    <xf numFmtId="0" fontId="11" fillId="0" borderId="0"/>
    <xf numFmtId="0" fontId="12" fillId="0" borderId="0"/>
    <xf numFmtId="0" fontId="12" fillId="0" borderId="0"/>
    <xf numFmtId="0" fontId="12" fillId="0" borderId="0"/>
    <xf numFmtId="0" fontId="4" fillId="0" borderId="0"/>
    <xf numFmtId="0" fontId="11" fillId="0" borderId="0"/>
    <xf numFmtId="0" fontId="12" fillId="0" borderId="0"/>
    <xf numFmtId="0" fontId="4" fillId="0" borderId="0"/>
    <xf numFmtId="0" fontId="11" fillId="0" borderId="0"/>
    <xf numFmtId="0" fontId="12" fillId="0" borderId="0"/>
    <xf numFmtId="0" fontId="4" fillId="0" borderId="0"/>
    <xf numFmtId="0" fontId="4" fillId="0" borderId="0"/>
    <xf numFmtId="0" fontId="2" fillId="0" borderId="0"/>
    <xf numFmtId="49" fontId="16" fillId="0" borderId="0" applyFill="0" applyProtection="0">
      <alignment horizontal="centerContinuous" wrapText="1"/>
    </xf>
    <xf numFmtId="0" fontId="17" fillId="4" borderId="6">
      <alignment horizontal="center"/>
    </xf>
    <xf numFmtId="169" fontId="18" fillId="5" borderId="1">
      <alignment horizontal="center"/>
    </xf>
    <xf numFmtId="1" fontId="3" fillId="0" borderId="7" applyFill="0" applyProtection="0">
      <alignment horizontal="center" vertical="center"/>
    </xf>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49" fontId="3" fillId="0" borderId="8" applyFill="0" applyProtection="0">
      <alignment horizontal="justify" vertical="center" wrapText="1"/>
    </xf>
    <xf numFmtId="49" fontId="19" fillId="0" borderId="8" applyFill="0" applyProtection="0">
      <alignment horizontal="center" vertical="center" wrapText="1"/>
    </xf>
    <xf numFmtId="2" fontId="3" fillId="0" borderId="9" applyFill="0" applyProtection="0">
      <alignment horizontal="center" vertical="center"/>
    </xf>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170" fontId="4" fillId="0" borderId="0" applyFont="0" applyFill="0" applyBorder="0" applyAlignment="0" applyProtection="0"/>
    <xf numFmtId="171" fontId="4" fillId="0" borderId="0" applyFont="0" applyFill="0" applyBorder="0" applyAlignment="0" applyProtection="0"/>
    <xf numFmtId="0" fontId="20"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 fillId="24" borderId="0" applyNumberFormat="0" applyBorder="0" applyAlignment="0" applyProtection="0"/>
    <xf numFmtId="0" fontId="2" fillId="27" borderId="0" applyNumberFormat="0" applyBorder="0" applyAlignment="0" applyProtection="0"/>
    <xf numFmtId="0" fontId="20" fillId="25" borderId="0" applyNumberFormat="0" applyBorder="0" applyAlignment="0" applyProtection="0"/>
    <xf numFmtId="0" fontId="20" fillId="20"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0" fillId="25" borderId="0" applyNumberFormat="0" applyBorder="0" applyAlignment="0" applyProtection="0"/>
    <xf numFmtId="0" fontId="20" fillId="28" borderId="0" applyNumberFormat="0" applyBorder="0" applyAlignment="0" applyProtection="0"/>
    <xf numFmtId="0" fontId="2" fillId="29" borderId="0" applyNumberFormat="0" applyBorder="0" applyAlignment="0" applyProtection="0"/>
    <xf numFmtId="0" fontId="2" fillId="21" borderId="0" applyNumberFormat="0" applyBorder="0" applyAlignment="0" applyProtection="0"/>
    <xf numFmtId="0" fontId="20" fillId="22" borderId="0" applyNumberFormat="0" applyBorder="0" applyAlignment="0" applyProtection="0"/>
    <xf numFmtId="0" fontId="20" fillId="30" borderId="0" applyNumberFormat="0" applyBorder="0" applyAlignment="0" applyProtection="0"/>
    <xf numFmtId="0" fontId="2" fillId="24" borderId="0" applyNumberFormat="0" applyBorder="0" applyAlignment="0" applyProtection="0"/>
    <xf numFmtId="0" fontId="2" fillId="31" borderId="0" applyNumberFormat="0" applyBorder="0" applyAlignment="0" applyProtection="0"/>
    <xf numFmtId="0" fontId="20" fillId="31" borderId="0" applyNumberFormat="0" applyBorder="0" applyAlignment="0" applyProtection="0"/>
    <xf numFmtId="172" fontId="21" fillId="32" borderId="0">
      <alignment horizontal="center" vertical="center"/>
    </xf>
    <xf numFmtId="165" fontId="22" fillId="0" borderId="10" applyFont="0" applyBorder="0">
      <alignment horizontal="right" vertical="center"/>
    </xf>
    <xf numFmtId="0" fontId="23" fillId="0" borderId="0" applyNumberFormat="0" applyFill="0" applyBorder="0" applyAlignment="0" applyProtection="0">
      <alignment vertical="top"/>
      <protection locked="0"/>
    </xf>
    <xf numFmtId="170" fontId="4" fillId="0" borderId="0" applyFont="0" applyFill="0" applyBorder="0" applyAlignment="0" applyProtection="0"/>
    <xf numFmtId="171" fontId="4" fillId="0" borderId="0" applyFont="0" applyFill="0" applyBorder="0" applyAlignment="0" applyProtection="0"/>
    <xf numFmtId="169" fontId="18" fillId="33" borderId="1">
      <alignment vertical="center"/>
    </xf>
    <xf numFmtId="173" fontId="22" fillId="0" borderId="0" applyFont="0" applyBorder="0" applyProtection="0">
      <alignment vertical="center"/>
    </xf>
    <xf numFmtId="172" fontId="4" fillId="0" borderId="0" applyNumberFormat="0" applyFont="0" applyAlignment="0">
      <alignment horizontal="center" vertical="center"/>
    </xf>
    <xf numFmtId="39" fontId="24" fillId="3" borderId="0" applyNumberFormat="0" applyBorder="0">
      <alignment vertical="center"/>
    </xf>
    <xf numFmtId="0" fontId="25" fillId="34" borderId="0" applyNumberFormat="0" applyBorder="0" applyAlignment="0" applyProtection="0"/>
    <xf numFmtId="0" fontId="18" fillId="0" borderId="0">
      <alignment horizontal="left"/>
    </xf>
    <xf numFmtId="169" fontId="26" fillId="35" borderId="1">
      <alignment vertical="center"/>
    </xf>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169" fontId="26" fillId="36" borderId="1">
      <alignment vertical="center"/>
    </xf>
    <xf numFmtId="174" fontId="4" fillId="0" borderId="0"/>
    <xf numFmtId="174" fontId="4" fillId="0" borderId="0"/>
    <xf numFmtId="165" fontId="18" fillId="37" borderId="6">
      <alignment vertical="center"/>
    </xf>
    <xf numFmtId="0" fontId="28" fillId="26" borderId="11" applyNumberFormat="0" applyAlignment="0" applyProtection="0"/>
    <xf numFmtId="175" fontId="4" fillId="0" borderId="0" applyFont="0" applyFill="0" applyBorder="0" applyAlignment="0" applyProtection="0"/>
    <xf numFmtId="167" fontId="4" fillId="0" borderId="0" applyFont="0" applyFill="0" applyBorder="0" applyAlignment="0" applyProtection="0"/>
    <xf numFmtId="176" fontId="3" fillId="0" borderId="0" applyFont="0" applyFill="0" applyBorder="0" applyAlignment="0" applyProtection="0"/>
    <xf numFmtId="177" fontId="12" fillId="0" borderId="0" applyFont="0" applyFill="0" applyBorder="0" applyAlignment="0" applyProtection="0"/>
    <xf numFmtId="178" fontId="4" fillId="0" borderId="0">
      <alignment horizontal="center"/>
    </xf>
    <xf numFmtId="0" fontId="29" fillId="0" borderId="12" applyNumberFormat="0" applyFill="0" applyProtection="0">
      <alignment vertical="top"/>
    </xf>
    <xf numFmtId="175" fontId="4" fillId="0" borderId="0" applyFont="0" applyFill="0" applyBorder="0" applyAlignment="0" applyProtection="0"/>
    <xf numFmtId="179" fontId="4" fillId="0" borderId="0" applyFont="0" applyFill="0" applyBorder="0" applyAlignment="0" applyProtection="0"/>
    <xf numFmtId="0" fontId="30" fillId="38" borderId="0" applyNumberFormat="0" applyBorder="0" applyAlignment="0" applyProtection="0"/>
    <xf numFmtId="0" fontId="30" fillId="39" borderId="0" applyNumberFormat="0" applyBorder="0" applyAlignment="0" applyProtection="0"/>
    <xf numFmtId="0" fontId="30" fillId="40" borderId="0" applyNumberFormat="0" applyBorder="0" applyAlignment="0" applyProtection="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32" fillId="41" borderId="0">
      <alignment horizontal="centerContinuous" vertical="center"/>
    </xf>
    <xf numFmtId="165" fontId="18" fillId="5" borderId="1" applyBorder="0">
      <alignment horizontal="center" vertical="center"/>
    </xf>
    <xf numFmtId="0" fontId="33" fillId="27" borderId="0" applyNumberFormat="0" applyBorder="0" applyAlignment="0" applyProtection="0"/>
    <xf numFmtId="0" fontId="4" fillId="3" borderId="0"/>
    <xf numFmtId="0" fontId="4" fillId="3" borderId="0"/>
    <xf numFmtId="0" fontId="4" fillId="3" borderId="0"/>
    <xf numFmtId="0" fontId="4" fillId="3" borderId="0"/>
    <xf numFmtId="0" fontId="4" fillId="3" borderId="0"/>
    <xf numFmtId="0" fontId="4" fillId="3" borderId="0"/>
    <xf numFmtId="0" fontId="4" fillId="3" borderId="0"/>
    <xf numFmtId="0" fontId="4" fillId="3" borderId="0"/>
    <xf numFmtId="0" fontId="4" fillId="3" borderId="0"/>
    <xf numFmtId="0" fontId="4" fillId="3" borderId="0"/>
    <xf numFmtId="0" fontId="29" fillId="42" borderId="12" applyNumberFormat="0" applyProtection="0">
      <alignment vertical="top"/>
    </xf>
    <xf numFmtId="0" fontId="34" fillId="0" borderId="13" applyNumberFormat="0" applyFill="0" applyAlignment="0" applyProtection="0"/>
    <xf numFmtId="0" fontId="35" fillId="0" borderId="14" applyNumberFormat="0" applyFill="0" applyAlignment="0" applyProtection="0"/>
    <xf numFmtId="0" fontId="36" fillId="0" borderId="15" applyNumberFormat="0" applyFill="0" applyAlignment="0" applyProtection="0"/>
    <xf numFmtId="0" fontId="36" fillId="0" borderId="0" applyNumberFormat="0" applyFill="0" applyBorder="0" applyAlignment="0" applyProtection="0"/>
    <xf numFmtId="3" fontId="5" fillId="0" borderId="0">
      <alignment vertical="top"/>
    </xf>
    <xf numFmtId="3" fontId="5" fillId="0" borderId="0">
      <alignment vertical="top"/>
    </xf>
    <xf numFmtId="3" fontId="5" fillId="0" borderId="0">
      <alignment vertical="top"/>
    </xf>
    <xf numFmtId="3" fontId="5" fillId="0" borderId="0">
      <alignment vertical="top"/>
    </xf>
    <xf numFmtId="3" fontId="5" fillId="0" borderId="0">
      <alignment vertical="top"/>
    </xf>
    <xf numFmtId="3" fontId="5" fillId="0" borderId="0">
      <alignment vertical="top"/>
    </xf>
    <xf numFmtId="3" fontId="5" fillId="0" borderId="0">
      <alignment vertical="top"/>
    </xf>
    <xf numFmtId="3" fontId="5" fillId="0" borderId="0">
      <alignment vertical="top"/>
    </xf>
    <xf numFmtId="3" fontId="5" fillId="0" borderId="0">
      <alignment vertical="top"/>
    </xf>
    <xf numFmtId="3" fontId="5" fillId="0" borderId="0">
      <alignment vertical="top"/>
    </xf>
    <xf numFmtId="2" fontId="37" fillId="43" borderId="3">
      <alignment horizontal="left"/>
      <protection locked="0"/>
    </xf>
    <xf numFmtId="2" fontId="37" fillId="43" borderId="3">
      <alignment horizontal="left"/>
      <protection locked="0"/>
    </xf>
    <xf numFmtId="2" fontId="37" fillId="43" borderId="3">
      <alignment horizontal="left"/>
      <protection locked="0"/>
    </xf>
    <xf numFmtId="2" fontId="37" fillId="43" borderId="3">
      <alignment horizontal="left"/>
      <protection locked="0"/>
    </xf>
    <xf numFmtId="2" fontId="37" fillId="43" borderId="3">
      <alignment horizontal="left"/>
      <protection locked="0"/>
    </xf>
    <xf numFmtId="2" fontId="37" fillId="43" borderId="3">
      <alignment horizontal="left"/>
      <protection locked="0"/>
    </xf>
    <xf numFmtId="2" fontId="37" fillId="43" borderId="3">
      <alignment horizontal="left"/>
      <protection locked="0"/>
    </xf>
    <xf numFmtId="2" fontId="37" fillId="43" borderId="3">
      <alignment horizontal="left"/>
      <protection locked="0"/>
    </xf>
    <xf numFmtId="2" fontId="37" fillId="43" borderId="3">
      <alignment horizontal="left"/>
      <protection locked="0"/>
    </xf>
    <xf numFmtId="2" fontId="37" fillId="43" borderId="3">
      <alignment horizontal="left"/>
      <protection locked="0"/>
    </xf>
    <xf numFmtId="0" fontId="38" fillId="44" borderId="0"/>
    <xf numFmtId="0" fontId="38" fillId="44" borderId="0"/>
    <xf numFmtId="0" fontId="38" fillId="44" borderId="0"/>
    <xf numFmtId="0" fontId="38" fillId="44" borderId="0"/>
    <xf numFmtId="0" fontId="38" fillId="44" borderId="0"/>
    <xf numFmtId="0" fontId="38" fillId="44" borderId="0"/>
    <xf numFmtId="0" fontId="38" fillId="44" borderId="0"/>
    <xf numFmtId="0" fontId="38" fillId="44" borderId="0"/>
    <xf numFmtId="0" fontId="38" fillId="44" borderId="0"/>
    <xf numFmtId="0" fontId="38" fillId="44" borderId="0"/>
    <xf numFmtId="0" fontId="9" fillId="45" borderId="0"/>
    <xf numFmtId="0" fontId="9" fillId="45" borderId="0"/>
    <xf numFmtId="0" fontId="9" fillId="45" borderId="0"/>
    <xf numFmtId="0" fontId="9" fillId="45" borderId="0"/>
    <xf numFmtId="0" fontId="9" fillId="45" borderId="0"/>
    <xf numFmtId="0" fontId="9" fillId="45" borderId="0"/>
    <xf numFmtId="0" fontId="9" fillId="45" borderId="0"/>
    <xf numFmtId="0" fontId="9" fillId="45" borderId="0"/>
    <xf numFmtId="0" fontId="9" fillId="45" borderId="0"/>
    <xf numFmtId="0" fontId="9" fillId="45"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24" fillId="46" borderId="1">
      <alignment horizontal="center" vertical="center" wrapText="1"/>
      <protection locked="0"/>
    </xf>
    <xf numFmtId="2" fontId="40" fillId="0" borderId="1">
      <alignment horizontal="center" vertical="center"/>
    </xf>
    <xf numFmtId="0" fontId="41" fillId="0" borderId="0"/>
    <xf numFmtId="0" fontId="4" fillId="0" borderId="0"/>
    <xf numFmtId="0" fontId="42" fillId="31" borderId="16" applyNumberFormat="0" applyAlignment="0" applyProtection="0"/>
    <xf numFmtId="10" fontId="43" fillId="47" borderId="1" applyNumberFormat="0" applyBorder="0" applyAlignment="0" applyProtection="0"/>
    <xf numFmtId="165" fontId="18" fillId="48" borderId="1">
      <alignment vertical="center"/>
      <protection locked="0"/>
    </xf>
    <xf numFmtId="0" fontId="44" fillId="0" borderId="0">
      <alignment horizontal="center" vertical="center" wrapText="1"/>
    </xf>
    <xf numFmtId="169" fontId="4" fillId="49" borderId="1">
      <alignment vertical="center"/>
    </xf>
    <xf numFmtId="180" fontId="45" fillId="0" borderId="0" applyFont="0" applyFill="0" applyBorder="0" applyAlignment="0" applyProtection="0"/>
    <xf numFmtId="0" fontId="46" fillId="0" borderId="0">
      <alignment horizontal="center" vertical="center" wrapText="1"/>
    </xf>
    <xf numFmtId="172" fontId="47" fillId="50" borderId="17" applyBorder="0" applyAlignment="0">
      <alignment horizontal="left" indent="1"/>
    </xf>
    <xf numFmtId="0" fontId="48" fillId="0" borderId="18" applyNumberFormat="0" applyFill="0" applyAlignment="0" applyProtection="0"/>
    <xf numFmtId="0" fontId="49" fillId="51" borderId="0" applyNumberFormat="0" applyBorder="0" applyAlignment="0" applyProtection="0"/>
    <xf numFmtId="0" fontId="10" fillId="3" borderId="1" applyFont="0" applyBorder="0" applyAlignment="0">
      <alignment horizontal="center" vertical="center"/>
    </xf>
    <xf numFmtId="181" fontId="50" fillId="0" borderId="0"/>
    <xf numFmtId="0" fontId="4" fillId="0" borderId="0"/>
    <xf numFmtId="0" fontId="4" fillId="0" borderId="0"/>
    <xf numFmtId="0" fontId="4" fillId="0" borderId="0"/>
    <xf numFmtId="0" fontId="11" fillId="0" borderId="0"/>
    <xf numFmtId="0" fontId="11" fillId="0" borderId="0"/>
    <xf numFmtId="3" fontId="37" fillId="0" borderId="0" applyNumberFormat="0">
      <alignment horizontal="center"/>
    </xf>
    <xf numFmtId="3" fontId="37" fillId="0" borderId="0" applyNumberFormat="0">
      <alignment horizontal="center"/>
    </xf>
    <xf numFmtId="3" fontId="37" fillId="0" borderId="0" applyNumberFormat="0">
      <alignment horizontal="center"/>
    </xf>
    <xf numFmtId="3" fontId="37" fillId="0" borderId="0" applyNumberFormat="0">
      <alignment horizontal="center"/>
    </xf>
    <xf numFmtId="3" fontId="37" fillId="0" borderId="0" applyNumberFormat="0">
      <alignment horizontal="center"/>
    </xf>
    <xf numFmtId="3" fontId="37" fillId="0" borderId="0" applyNumberFormat="0">
      <alignment horizontal="center"/>
    </xf>
    <xf numFmtId="3" fontId="37" fillId="0" borderId="0" applyNumberFormat="0">
      <alignment horizontal="center"/>
    </xf>
    <xf numFmtId="3" fontId="37" fillId="0" borderId="0" applyNumberFormat="0">
      <alignment horizontal="center"/>
    </xf>
    <xf numFmtId="3" fontId="37" fillId="0" borderId="0" applyNumberFormat="0">
      <alignment horizontal="center"/>
    </xf>
    <xf numFmtId="3" fontId="37" fillId="0" borderId="0" applyNumberFormat="0">
      <alignment horizontal="center"/>
    </xf>
    <xf numFmtId="165" fontId="4" fillId="0" borderId="0" applyFont="0" applyFill="0" applyBorder="0" applyAlignment="0" applyProtection="0"/>
    <xf numFmtId="167" fontId="4" fillId="0" borderId="0" applyFont="0" applyFill="0" applyBorder="0" applyAlignment="0" applyProtection="0"/>
    <xf numFmtId="182" fontId="51" fillId="0" borderId="0">
      <alignment horizontal="left"/>
    </xf>
    <xf numFmtId="3" fontId="52" fillId="0" borderId="0">
      <alignment vertical="top"/>
    </xf>
    <xf numFmtId="3" fontId="52" fillId="0" borderId="0">
      <alignment vertical="top"/>
    </xf>
    <xf numFmtId="3" fontId="52" fillId="0" borderId="0">
      <alignment vertical="top"/>
    </xf>
    <xf numFmtId="3" fontId="52" fillId="0" borderId="0">
      <alignment vertical="top"/>
    </xf>
    <xf numFmtId="3" fontId="52" fillId="0" borderId="0">
      <alignment vertical="top"/>
    </xf>
    <xf numFmtId="3" fontId="52" fillId="0" borderId="0">
      <alignment vertical="top"/>
    </xf>
    <xf numFmtId="3" fontId="52" fillId="0" borderId="0">
      <alignment vertical="top"/>
    </xf>
    <xf numFmtId="3" fontId="52" fillId="0" borderId="0">
      <alignment vertical="top"/>
    </xf>
    <xf numFmtId="3" fontId="52" fillId="0" borderId="0">
      <alignment vertical="top"/>
    </xf>
    <xf numFmtId="3" fontId="52" fillId="0" borderId="0">
      <alignment vertical="top"/>
    </xf>
    <xf numFmtId="183" fontId="3" fillId="0" borderId="0" applyFont="0" applyFill="0" applyBorder="0" applyAlignment="0" applyProtection="0"/>
    <xf numFmtId="0" fontId="53" fillId="52" borderId="19" applyNumberFormat="0" applyAlignment="0" applyProtection="0"/>
    <xf numFmtId="0" fontId="54" fillId="3" borderId="0">
      <alignment vertical="center"/>
    </xf>
    <xf numFmtId="39" fontId="24" fillId="3" borderId="0">
      <alignment vertical="center"/>
    </xf>
    <xf numFmtId="10" fontId="4" fillId="0" borderId="0" applyFont="0" applyFill="0" applyBorder="0" applyAlignment="0" applyProtection="0"/>
    <xf numFmtId="9" fontId="4" fillId="0" borderId="0" applyFont="0" applyFill="0" applyBorder="0" applyAlignment="0" applyProtection="0"/>
    <xf numFmtId="184" fontId="4" fillId="0" borderId="0"/>
    <xf numFmtId="185" fontId="51" fillId="0" borderId="0"/>
    <xf numFmtId="0" fontId="4" fillId="0" borderId="0"/>
    <xf numFmtId="169" fontId="55" fillId="49" borderId="1">
      <alignment horizontal="center" vertical="center" wrapText="1"/>
      <protection locked="0"/>
    </xf>
    <xf numFmtId="186" fontId="4" fillId="0" borderId="0" applyFont="0" applyFill="0" applyBorder="0" applyAlignment="0" applyProtection="0"/>
    <xf numFmtId="0" fontId="4" fillId="0" borderId="0">
      <alignment vertical="center"/>
    </xf>
    <xf numFmtId="0" fontId="4" fillId="53" borderId="0">
      <alignment vertical="center"/>
    </xf>
    <xf numFmtId="0" fontId="4" fillId="53" borderId="0">
      <alignment vertical="center"/>
    </xf>
    <xf numFmtId="0" fontId="4" fillId="53" borderId="0">
      <alignment vertical="center"/>
    </xf>
    <xf numFmtId="0" fontId="4" fillId="53" borderId="0">
      <alignment vertical="center"/>
    </xf>
    <xf numFmtId="0" fontId="4" fillId="53" borderId="0">
      <alignment vertical="center"/>
    </xf>
    <xf numFmtId="0" fontId="4" fillId="53" borderId="0">
      <alignment vertical="center"/>
    </xf>
    <xf numFmtId="0" fontId="4" fillId="53" borderId="0">
      <alignment vertical="center"/>
    </xf>
    <xf numFmtId="0" fontId="4" fillId="53" borderId="0">
      <alignment vertical="center"/>
    </xf>
    <xf numFmtId="0" fontId="4" fillId="53" borderId="0">
      <alignment vertical="center"/>
    </xf>
    <xf numFmtId="0" fontId="4" fillId="53" borderId="0">
      <alignment vertical="center"/>
    </xf>
    <xf numFmtId="0" fontId="56" fillId="54" borderId="1">
      <alignment vertical="top"/>
    </xf>
    <xf numFmtId="0" fontId="57" fillId="55" borderId="0">
      <alignment horizontal="center" vertical="center"/>
    </xf>
    <xf numFmtId="0" fontId="57" fillId="55" borderId="0">
      <alignment horizontal="right" vertical="top"/>
    </xf>
    <xf numFmtId="0" fontId="58" fillId="0" borderId="0" applyNumberFormat="0" applyFill="0" applyBorder="0" applyAlignment="0" applyProtection="0"/>
    <xf numFmtId="187" fontId="4" fillId="32" borderId="1">
      <alignment vertical="center"/>
    </xf>
    <xf numFmtId="188" fontId="59" fillId="0" borderId="1">
      <alignment horizontal="left" vertical="center"/>
      <protection locked="0"/>
    </xf>
    <xf numFmtId="0" fontId="4" fillId="56" borderId="0"/>
    <xf numFmtId="0" fontId="11" fillId="0" borderId="0"/>
    <xf numFmtId="169" fontId="4" fillId="41" borderId="20" applyNumberFormat="0" applyFont="0" applyAlignment="0">
      <alignment horizontal="left"/>
    </xf>
    <xf numFmtId="169" fontId="4" fillId="41" borderId="20" applyNumberFormat="0" applyFont="0" applyAlignment="0">
      <alignment horizontal="left"/>
    </xf>
    <xf numFmtId="169" fontId="4" fillId="41" borderId="20" applyNumberFormat="0" applyFont="0" applyAlignment="0">
      <alignment horizontal="left"/>
    </xf>
    <xf numFmtId="169" fontId="4" fillId="41" borderId="20" applyNumberFormat="0" applyFont="0" applyAlignment="0">
      <alignment horizontal="left"/>
    </xf>
    <xf numFmtId="169" fontId="4" fillId="41" borderId="20" applyNumberFormat="0" applyFont="0" applyAlignment="0">
      <alignment horizontal="left"/>
    </xf>
    <xf numFmtId="169" fontId="4" fillId="41" borderId="20" applyNumberFormat="0" applyFont="0" applyAlignment="0">
      <alignment horizontal="left"/>
    </xf>
    <xf numFmtId="169" fontId="4" fillId="41" borderId="20" applyNumberFormat="0" applyFont="0" applyAlignment="0">
      <alignment horizontal="left"/>
    </xf>
    <xf numFmtId="169" fontId="4" fillId="41" borderId="20" applyNumberFormat="0" applyFont="0" applyAlignment="0">
      <alignment horizontal="left"/>
    </xf>
    <xf numFmtId="169" fontId="4" fillId="41" borderId="20" applyNumberFormat="0" applyFont="0" applyAlignment="0">
      <alignment horizontal="left"/>
    </xf>
    <xf numFmtId="169" fontId="4" fillId="41" borderId="20" applyNumberFormat="0" applyFont="0" applyAlignment="0">
      <alignment horizontal="left"/>
    </xf>
    <xf numFmtId="0" fontId="60" fillId="0" borderId="0"/>
    <xf numFmtId="3" fontId="31" fillId="0" borderId="0">
      <protection locked="0"/>
    </xf>
    <xf numFmtId="189" fontId="4" fillId="0" borderId="0" applyFont="0" applyFill="0" applyBorder="0" applyAlignment="0" applyProtection="0"/>
    <xf numFmtId="190" fontId="4" fillId="0" borderId="0" applyFont="0" applyFill="0" applyBorder="0" applyAlignment="0" applyProtection="0"/>
    <xf numFmtId="182" fontId="51" fillId="0" borderId="0">
      <alignment horizontal="left"/>
    </xf>
    <xf numFmtId="191" fontId="4" fillId="3" borderId="0" applyFill="0"/>
    <xf numFmtId="0" fontId="61" fillId="0" borderId="0" applyNumberFormat="0" applyFill="0" applyBorder="0" applyAlignment="0" applyProtection="0">
      <alignment horizontal="center"/>
    </xf>
    <xf numFmtId="169" fontId="17" fillId="4" borderId="6">
      <alignment horizontal="center" vertical="center"/>
    </xf>
    <xf numFmtId="192" fontId="4" fillId="0" borderId="0" applyFont="0" applyFill="0" applyBorder="0" applyAlignment="0" applyProtection="0"/>
    <xf numFmtId="193" fontId="4" fillId="0" borderId="0" applyFont="0" applyFill="0" applyBorder="0" applyAlignment="0" applyProtection="0"/>
    <xf numFmtId="0" fontId="62" fillId="0" borderId="21"/>
    <xf numFmtId="0" fontId="63" fillId="0" borderId="0" applyNumberFormat="0" applyFill="0" applyBorder="0" applyAlignment="0" applyProtection="0"/>
    <xf numFmtId="0" fontId="64" fillId="57" borderId="22">
      <alignment vertical="center"/>
      <protection locked="0"/>
    </xf>
    <xf numFmtId="194" fontId="4" fillId="0" borderId="0" applyFont="0" applyFill="0" applyBorder="0" applyAlignment="0" applyProtection="0"/>
    <xf numFmtId="195" fontId="4" fillId="0" borderId="0" applyFont="0" applyFill="0" applyBorder="0" applyAlignment="0" applyProtection="0"/>
    <xf numFmtId="0" fontId="64" fillId="48" borderId="1">
      <alignment horizontal="right" wrapText="1"/>
      <protection locked="0"/>
    </xf>
    <xf numFmtId="169" fontId="4" fillId="48" borderId="1" applyNumberFormat="0" applyFill="0" applyBorder="0" applyProtection="0">
      <alignment vertical="center"/>
      <protection locked="0"/>
    </xf>
    <xf numFmtId="169" fontId="4" fillId="48" borderId="1" applyNumberFormat="0" applyFill="0" applyBorder="0" applyProtection="0">
      <alignment vertical="center"/>
      <protection locked="0"/>
    </xf>
    <xf numFmtId="169" fontId="4" fillId="48" borderId="1" applyNumberFormat="0" applyFill="0" applyBorder="0" applyProtection="0">
      <alignment vertical="center"/>
      <protection locked="0"/>
    </xf>
    <xf numFmtId="169" fontId="4" fillId="48" borderId="1" applyNumberFormat="0" applyFill="0" applyBorder="0" applyProtection="0">
      <alignment vertical="center"/>
      <protection locked="0"/>
    </xf>
    <xf numFmtId="0" fontId="20" fillId="58" borderId="0" applyNumberFormat="0" applyBorder="0" applyAlignment="0" applyProtection="0"/>
    <xf numFmtId="0" fontId="20" fillId="58" borderId="0" applyNumberFormat="0" applyBorder="0" applyAlignment="0" applyProtection="0"/>
    <xf numFmtId="0" fontId="20" fillId="58" borderId="0" applyNumberFormat="0" applyBorder="0" applyAlignment="0" applyProtection="0"/>
    <xf numFmtId="0" fontId="20" fillId="58" borderId="0" applyNumberFormat="0" applyBorder="0" applyAlignment="0" applyProtection="0"/>
    <xf numFmtId="0" fontId="20" fillId="58" borderId="0" applyNumberFormat="0" applyBorder="0" applyAlignment="0" applyProtection="0"/>
    <xf numFmtId="0" fontId="20" fillId="58" borderId="0" applyNumberFormat="0" applyBorder="0" applyAlignment="0" applyProtection="0"/>
    <xf numFmtId="0" fontId="20" fillId="58" borderId="0" applyNumberFormat="0" applyBorder="0" applyAlignment="0" applyProtection="0"/>
    <xf numFmtId="0" fontId="20" fillId="58" borderId="0" applyNumberFormat="0" applyBorder="0" applyAlignment="0" applyProtection="0"/>
    <xf numFmtId="0" fontId="20" fillId="59" borderId="0" applyNumberFormat="0" applyBorder="0" applyAlignment="0" applyProtection="0"/>
    <xf numFmtId="0" fontId="20" fillId="59" borderId="0" applyNumberFormat="0" applyBorder="0" applyAlignment="0" applyProtection="0"/>
    <xf numFmtId="0" fontId="20" fillId="59" borderId="0" applyNumberFormat="0" applyBorder="0" applyAlignment="0" applyProtection="0"/>
    <xf numFmtId="0" fontId="20" fillId="59" borderId="0" applyNumberFormat="0" applyBorder="0" applyAlignment="0" applyProtection="0"/>
    <xf numFmtId="0" fontId="20" fillId="59" borderId="0" applyNumberFormat="0" applyBorder="0" applyAlignment="0" applyProtection="0"/>
    <xf numFmtId="0" fontId="20" fillId="59" borderId="0" applyNumberFormat="0" applyBorder="0" applyAlignment="0" applyProtection="0"/>
    <xf numFmtId="0" fontId="20" fillId="59" borderId="0" applyNumberFormat="0" applyBorder="0" applyAlignment="0" applyProtection="0"/>
    <xf numFmtId="0" fontId="20" fillId="59" borderId="0" applyNumberFormat="0" applyBorder="0" applyAlignment="0" applyProtection="0"/>
    <xf numFmtId="0" fontId="20" fillId="60" borderId="0" applyNumberFormat="0" applyBorder="0" applyAlignment="0" applyProtection="0"/>
    <xf numFmtId="0" fontId="20" fillId="60" borderId="0" applyNumberFormat="0" applyBorder="0" applyAlignment="0" applyProtection="0"/>
    <xf numFmtId="0" fontId="20" fillId="60" borderId="0" applyNumberFormat="0" applyBorder="0" applyAlignment="0" applyProtection="0"/>
    <xf numFmtId="0" fontId="20" fillId="60" borderId="0" applyNumberFormat="0" applyBorder="0" applyAlignment="0" applyProtection="0"/>
    <xf numFmtId="0" fontId="20" fillId="60" borderId="0" applyNumberFormat="0" applyBorder="0" applyAlignment="0" applyProtection="0"/>
    <xf numFmtId="0" fontId="20" fillId="60" borderId="0" applyNumberFormat="0" applyBorder="0" applyAlignment="0" applyProtection="0"/>
    <xf numFmtId="0" fontId="20" fillId="60" borderId="0" applyNumberFormat="0" applyBorder="0" applyAlignment="0" applyProtection="0"/>
    <xf numFmtId="0" fontId="20" fillId="60"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61" borderId="0" applyNumberFormat="0" applyBorder="0" applyAlignment="0" applyProtection="0"/>
    <xf numFmtId="0" fontId="20" fillId="61" borderId="0" applyNumberFormat="0" applyBorder="0" applyAlignment="0" applyProtection="0"/>
    <xf numFmtId="0" fontId="20" fillId="61" borderId="0" applyNumberFormat="0" applyBorder="0" applyAlignment="0" applyProtection="0"/>
    <xf numFmtId="0" fontId="20" fillId="61" borderId="0" applyNumberFormat="0" applyBorder="0" applyAlignment="0" applyProtection="0"/>
    <xf numFmtId="0" fontId="20" fillId="61" borderId="0" applyNumberFormat="0" applyBorder="0" applyAlignment="0" applyProtection="0"/>
    <xf numFmtId="0" fontId="20" fillId="61" borderId="0" applyNumberFormat="0" applyBorder="0" applyAlignment="0" applyProtection="0"/>
    <xf numFmtId="0" fontId="20" fillId="61" borderId="0" applyNumberFormat="0" applyBorder="0" applyAlignment="0" applyProtection="0"/>
    <xf numFmtId="0" fontId="20" fillId="61" borderId="0" applyNumberFormat="0" applyBorder="0" applyAlignment="0" applyProtection="0"/>
    <xf numFmtId="0" fontId="42" fillId="11" borderId="16" applyNumberFormat="0" applyAlignment="0" applyProtection="0"/>
    <xf numFmtId="0" fontId="42" fillId="11" borderId="16" applyNumberFormat="0" applyAlignment="0" applyProtection="0"/>
    <xf numFmtId="0" fontId="42" fillId="11" borderId="16" applyNumberFormat="0" applyAlignment="0" applyProtection="0"/>
    <xf numFmtId="0" fontId="42" fillId="11" borderId="16" applyNumberFormat="0" applyAlignment="0" applyProtection="0"/>
    <xf numFmtId="0" fontId="42" fillId="11" borderId="16" applyNumberFormat="0" applyAlignment="0" applyProtection="0"/>
    <xf numFmtId="0" fontId="42" fillId="11" borderId="16" applyNumberFormat="0" applyAlignment="0" applyProtection="0"/>
    <xf numFmtId="0" fontId="42" fillId="11" borderId="16" applyNumberFormat="0" applyAlignment="0" applyProtection="0"/>
    <xf numFmtId="0" fontId="42" fillId="11" borderId="16" applyNumberFormat="0" applyAlignment="0" applyProtection="0"/>
    <xf numFmtId="0" fontId="53" fillId="62" borderId="19" applyNumberFormat="0" applyAlignment="0" applyProtection="0"/>
    <xf numFmtId="0" fontId="53" fillId="62" borderId="19" applyNumberFormat="0" applyAlignment="0" applyProtection="0"/>
    <xf numFmtId="0" fontId="53" fillId="62" borderId="19" applyNumberFormat="0" applyAlignment="0" applyProtection="0"/>
    <xf numFmtId="0" fontId="53" fillId="62" borderId="19" applyNumberFormat="0" applyAlignment="0" applyProtection="0"/>
    <xf numFmtId="0" fontId="53" fillId="62" borderId="19" applyNumberFormat="0" applyAlignment="0" applyProtection="0"/>
    <xf numFmtId="0" fontId="53" fillId="62" borderId="19" applyNumberFormat="0" applyAlignment="0" applyProtection="0"/>
    <xf numFmtId="0" fontId="53" fillId="62" borderId="19" applyNumberFormat="0" applyAlignment="0" applyProtection="0"/>
    <xf numFmtId="0" fontId="53" fillId="62" borderId="19" applyNumberFormat="0" applyAlignment="0" applyProtection="0"/>
    <xf numFmtId="0" fontId="65" fillId="62" borderId="16" applyNumberFormat="0" applyAlignment="0" applyProtection="0"/>
    <xf numFmtId="0" fontId="65" fillId="62" borderId="16" applyNumberFormat="0" applyAlignment="0" applyProtection="0"/>
    <xf numFmtId="0" fontId="65" fillId="62" borderId="16" applyNumberFormat="0" applyAlignment="0" applyProtection="0"/>
    <xf numFmtId="0" fontId="65" fillId="62" borderId="16" applyNumberFormat="0" applyAlignment="0" applyProtection="0"/>
    <xf numFmtId="0" fontId="65" fillId="62" borderId="16" applyNumberFormat="0" applyAlignment="0" applyProtection="0"/>
    <xf numFmtId="0" fontId="65" fillId="62" borderId="16" applyNumberFormat="0" applyAlignment="0" applyProtection="0"/>
    <xf numFmtId="0" fontId="65" fillId="62" borderId="16" applyNumberFormat="0" applyAlignment="0" applyProtection="0"/>
    <xf numFmtId="0" fontId="65" fillId="62" borderId="16" applyNumberFormat="0" applyAlignment="0" applyProtection="0"/>
    <xf numFmtId="166" fontId="4" fillId="0" borderId="0" applyFont="0" applyFill="0" applyBorder="0" applyAlignment="0" applyProtection="0"/>
    <xf numFmtId="171" fontId="4" fillId="0" borderId="0" applyFont="0" applyFill="0" applyBorder="0" applyAlignment="0" applyProtection="0"/>
    <xf numFmtId="172" fontId="24" fillId="3" borderId="0" applyNumberFormat="0" applyFont="0" applyFill="0" applyBorder="0" applyAlignment="0" applyProtection="0">
      <alignment vertical="center"/>
    </xf>
    <xf numFmtId="0" fontId="66" fillId="0" borderId="23" applyNumberFormat="0" applyFill="0" applyAlignment="0" applyProtection="0"/>
    <xf numFmtId="0" fontId="66" fillId="0" borderId="23" applyNumberFormat="0" applyFill="0" applyAlignment="0" applyProtection="0"/>
    <xf numFmtId="0" fontId="66" fillId="0" borderId="23" applyNumberFormat="0" applyFill="0" applyAlignment="0" applyProtection="0"/>
    <xf numFmtId="0" fontId="66" fillId="0" borderId="23" applyNumberFormat="0" applyFill="0" applyAlignment="0" applyProtection="0"/>
    <xf numFmtId="0" fontId="66" fillId="0" borderId="23" applyNumberFormat="0" applyFill="0" applyAlignment="0" applyProtection="0"/>
    <xf numFmtId="0" fontId="66" fillId="0" borderId="23" applyNumberFormat="0" applyFill="0" applyAlignment="0" applyProtection="0"/>
    <xf numFmtId="0" fontId="66" fillId="0" borderId="23" applyNumberFormat="0" applyFill="0" applyAlignment="0" applyProtection="0"/>
    <xf numFmtId="0" fontId="66" fillId="0" borderId="23"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9" fillId="0" borderId="0">
      <alignment horizontal="left"/>
    </xf>
    <xf numFmtId="0" fontId="70" fillId="3" borderId="0"/>
    <xf numFmtId="0" fontId="30" fillId="0" borderId="25" applyNumberFormat="0" applyFill="0" applyAlignment="0" applyProtection="0"/>
    <xf numFmtId="0" fontId="30" fillId="0" borderId="25" applyNumberFormat="0" applyFill="0" applyAlignment="0" applyProtection="0"/>
    <xf numFmtId="0" fontId="30" fillId="0" borderId="25" applyNumberFormat="0" applyFill="0" applyAlignment="0" applyProtection="0"/>
    <xf numFmtId="0" fontId="30" fillId="0" borderId="25" applyNumberFormat="0" applyFill="0" applyAlignment="0" applyProtection="0"/>
    <xf numFmtId="0" fontId="30" fillId="0" borderId="25" applyNumberFormat="0" applyFill="0" applyAlignment="0" applyProtection="0"/>
    <xf numFmtId="0" fontId="30" fillId="0" borderId="25" applyNumberFormat="0" applyFill="0" applyAlignment="0" applyProtection="0"/>
    <xf numFmtId="0" fontId="30" fillId="0" borderId="25" applyNumberFormat="0" applyFill="0" applyAlignment="0" applyProtection="0"/>
    <xf numFmtId="0" fontId="30" fillId="0" borderId="25" applyNumberFormat="0" applyFill="0" applyAlignment="0" applyProtection="0"/>
    <xf numFmtId="0" fontId="28" fillId="63" borderId="11" applyNumberFormat="0" applyAlignment="0" applyProtection="0"/>
    <xf numFmtId="0" fontId="28" fillId="63" borderId="11" applyNumberFormat="0" applyAlignment="0" applyProtection="0"/>
    <xf numFmtId="0" fontId="28" fillId="63" borderId="11" applyNumberFormat="0" applyAlignment="0" applyProtection="0"/>
    <xf numFmtId="0" fontId="28" fillId="63" borderId="11" applyNumberFormat="0" applyAlignment="0" applyProtection="0"/>
    <xf numFmtId="0" fontId="28" fillId="63" borderId="11" applyNumberFormat="0" applyAlignment="0" applyProtection="0"/>
    <xf numFmtId="0" fontId="28" fillId="63" borderId="11" applyNumberFormat="0" applyAlignment="0" applyProtection="0"/>
    <xf numFmtId="0" fontId="28" fillId="63" borderId="11" applyNumberFormat="0" applyAlignment="0" applyProtection="0"/>
    <xf numFmtId="0" fontId="28" fillId="63" borderId="11" applyNumberFormat="0" applyAlignment="0" applyProtection="0"/>
    <xf numFmtId="0" fontId="71" fillId="3" borderId="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49" fillId="54" borderId="0" applyNumberFormat="0" applyBorder="0" applyAlignment="0" applyProtection="0"/>
    <xf numFmtId="0" fontId="49" fillId="54" borderId="0" applyNumberFormat="0" applyBorder="0" applyAlignment="0" applyProtection="0"/>
    <xf numFmtId="0" fontId="49" fillId="54" borderId="0" applyNumberFormat="0" applyBorder="0" applyAlignment="0" applyProtection="0"/>
    <xf numFmtId="0" fontId="49" fillId="54" borderId="0" applyNumberFormat="0" applyBorder="0" applyAlignment="0" applyProtection="0"/>
    <xf numFmtId="0" fontId="49" fillId="54" borderId="0" applyNumberFormat="0" applyBorder="0" applyAlignment="0" applyProtection="0"/>
    <xf numFmtId="0" fontId="49" fillId="54" borderId="0" applyNumberFormat="0" applyBorder="0" applyAlignment="0" applyProtection="0"/>
    <xf numFmtId="0" fontId="49" fillId="54" borderId="0" applyNumberFormat="0" applyBorder="0" applyAlignment="0" applyProtection="0"/>
    <xf numFmtId="0" fontId="49" fillId="54" borderId="0" applyNumberFormat="0" applyBorder="0" applyAlignment="0" applyProtection="0"/>
    <xf numFmtId="164" fontId="3" fillId="0" borderId="0" applyFont="0" applyFill="0" applyBorder="0" applyAlignment="0" applyProtection="0"/>
    <xf numFmtId="0" fontId="4" fillId="0" borderId="0"/>
    <xf numFmtId="0" fontId="1" fillId="0" borderId="0"/>
    <xf numFmtId="0" fontId="3" fillId="0" borderId="0"/>
    <xf numFmtId="0" fontId="1" fillId="0" borderId="0"/>
    <xf numFmtId="0" fontId="6" fillId="0" borderId="0"/>
    <xf numFmtId="0" fontId="4" fillId="0" borderId="0"/>
    <xf numFmtId="0" fontId="4" fillId="0" borderId="0"/>
    <xf numFmtId="0" fontId="4" fillId="0" borderId="0"/>
    <xf numFmtId="0" fontId="6"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7" fillId="0" borderId="0"/>
    <xf numFmtId="0" fontId="1" fillId="0" borderId="0"/>
    <xf numFmtId="0" fontId="4" fillId="0" borderId="0"/>
    <xf numFmtId="0" fontId="73"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0" fontId="3" fillId="64" borderId="26" applyNumberFormat="0" applyFont="0" applyAlignment="0" applyProtection="0"/>
    <xf numFmtId="9" fontId="1" fillId="0" borderId="0" applyFont="0" applyFill="0" applyBorder="0" applyAlignment="0" applyProtection="0"/>
    <xf numFmtId="9" fontId="6"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76" fillId="36" borderId="0">
      <alignment horizontal="center" vertical="top"/>
    </xf>
    <xf numFmtId="3" fontId="77" fillId="0" borderId="0" applyFont="0" applyFill="0" applyBorder="0" applyProtection="0">
      <alignment horizontal="right" vertical="center"/>
    </xf>
    <xf numFmtId="0" fontId="12" fillId="0" borderId="0"/>
    <xf numFmtId="0" fontId="4" fillId="0" borderId="0"/>
    <xf numFmtId="0" fontId="11" fillId="0" borderId="0"/>
    <xf numFmtId="0" fontId="12" fillId="0" borderId="0"/>
    <xf numFmtId="196" fontId="78" fillId="0" borderId="0" applyFont="0" applyFill="0" applyBorder="0" applyAlignment="0" applyProtection="0"/>
    <xf numFmtId="167" fontId="18" fillId="0" borderId="0" applyFont="0" applyFill="0" applyBorder="0" applyAlignment="0" applyProtection="0"/>
    <xf numFmtId="167" fontId="3" fillId="0" borderId="0" applyFont="0" applyFill="0" applyBorder="0" applyAlignment="0" applyProtection="0"/>
    <xf numFmtId="167" fontId="6"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73" fillId="0" borderId="0" applyFont="0" applyFill="0" applyBorder="0" applyAlignment="0" applyProtection="0"/>
    <xf numFmtId="167" fontId="1" fillId="0" borderId="0" applyFont="0" applyFill="0" applyBorder="0" applyAlignment="0" applyProtection="0"/>
    <xf numFmtId="167" fontId="3"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97"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5" fontId="18" fillId="65" borderId="1">
      <alignment horizontal="center" vertical="center"/>
      <protection locked="0"/>
    </xf>
    <xf numFmtId="165" fontId="18" fillId="65" borderId="1">
      <alignment horizontal="center" vertical="center"/>
      <protection locked="0"/>
    </xf>
    <xf numFmtId="165" fontId="18" fillId="65" borderId="1">
      <alignment horizontal="center" vertical="center"/>
      <protection locked="0"/>
    </xf>
    <xf numFmtId="165" fontId="18" fillId="65" borderId="1">
      <alignment horizontal="center" vertical="center"/>
      <protection locked="0"/>
    </xf>
    <xf numFmtId="165" fontId="18" fillId="65" borderId="1">
      <alignment horizontal="center" vertical="center"/>
      <protection locked="0"/>
    </xf>
    <xf numFmtId="165" fontId="18" fillId="65" borderId="1">
      <alignment horizontal="center" vertical="center"/>
      <protection locked="0"/>
    </xf>
    <xf numFmtId="165" fontId="18" fillId="65" borderId="1">
      <alignment horizontal="center" vertical="center"/>
      <protection locked="0"/>
    </xf>
    <xf numFmtId="165" fontId="18" fillId="65" borderId="1">
      <alignment horizontal="center" vertical="center"/>
      <protection locked="0"/>
    </xf>
    <xf numFmtId="165" fontId="18" fillId="65" borderId="1">
      <alignment horizontal="center" vertical="center"/>
      <protection locked="0"/>
    </xf>
    <xf numFmtId="165" fontId="18" fillId="65" borderId="1">
      <alignment horizontal="center" vertical="center"/>
      <protection locked="0"/>
    </xf>
    <xf numFmtId="165" fontId="18" fillId="65" borderId="1">
      <alignment horizontal="center" vertical="center"/>
      <protection locked="0"/>
    </xf>
    <xf numFmtId="165" fontId="18" fillId="65" borderId="1">
      <alignment horizontal="center" vertical="center"/>
      <protection locked="0"/>
    </xf>
    <xf numFmtId="165" fontId="18" fillId="65" borderId="1">
      <alignment horizontal="center" vertical="center"/>
      <protection locked="0"/>
    </xf>
    <xf numFmtId="165" fontId="18" fillId="65" borderId="1">
      <alignment horizontal="center" vertical="center"/>
      <protection locked="0"/>
    </xf>
    <xf numFmtId="165" fontId="18" fillId="65" borderId="1">
      <alignment horizontal="center" vertical="center"/>
      <protection locked="0"/>
    </xf>
    <xf numFmtId="165" fontId="18" fillId="65" borderId="1">
      <alignment horizontal="center" vertical="center"/>
      <protection locked="0"/>
    </xf>
    <xf numFmtId="165" fontId="18" fillId="65" borderId="1">
      <alignment horizontal="center" vertical="center"/>
      <protection locked="0"/>
    </xf>
    <xf numFmtId="165" fontId="18" fillId="65" borderId="1">
      <alignment horizontal="center" vertical="center"/>
      <protection locked="0"/>
    </xf>
    <xf numFmtId="165" fontId="18" fillId="65" borderId="1">
      <alignment horizontal="center" vertical="center"/>
      <protection locked="0"/>
    </xf>
    <xf numFmtId="165" fontId="18" fillId="65" borderId="1">
      <alignment horizontal="center" vertical="center"/>
      <protection locked="0"/>
    </xf>
    <xf numFmtId="165" fontId="18" fillId="65" borderId="1">
      <alignment horizontal="center" vertical="center"/>
      <protection locked="0"/>
    </xf>
    <xf numFmtId="0" fontId="79" fillId="0" borderId="0"/>
    <xf numFmtId="0" fontId="80" fillId="66" borderId="27" applyNumberFormat="0" applyAlignment="0" applyProtection="0"/>
    <xf numFmtId="0" fontId="82" fillId="0" borderId="0" applyNumberFormat="0" applyFill="0" applyBorder="0" applyAlignment="0" applyProtection="0"/>
  </cellStyleXfs>
  <cellXfs count="409">
    <xf numFmtId="0" fontId="0" fillId="0" borderId="0" xfId="0"/>
    <xf numFmtId="0" fontId="0" fillId="0" borderId="0" xfId="0"/>
    <xf numFmtId="0" fontId="0" fillId="0" borderId="0" xfId="0" applyFill="1"/>
    <xf numFmtId="0" fontId="83" fillId="0" borderId="0" xfId="0" applyFont="1"/>
    <xf numFmtId="4" fontId="0" fillId="0" borderId="0" xfId="0" applyNumberFormat="1"/>
    <xf numFmtId="0" fontId="0" fillId="69" borderId="0" xfId="0" applyFill="1"/>
    <xf numFmtId="4" fontId="0" fillId="69" borderId="0" xfId="0" applyNumberFormat="1" applyFill="1"/>
    <xf numFmtId="0" fontId="115" fillId="0" borderId="36" xfId="12" applyFont="1" applyFill="1" applyBorder="1" applyAlignment="1">
      <alignment horizontal="center" vertical="center" wrapText="1"/>
    </xf>
    <xf numFmtId="0" fontId="119" fillId="0" borderId="36" xfId="0" applyFont="1" applyFill="1" applyBorder="1" applyAlignment="1" applyProtection="1">
      <alignment horizontal="center" vertical="center" wrapText="1"/>
      <protection locked="0"/>
    </xf>
    <xf numFmtId="4" fontId="91" fillId="0" borderId="0" xfId="1" applyNumberFormat="1" applyFont="1" applyFill="1" applyBorder="1" applyAlignment="1" applyProtection="1">
      <alignment horizontal="right" vertical="center"/>
    </xf>
    <xf numFmtId="0" fontId="120" fillId="0" borderId="0" xfId="0" applyFont="1" applyProtection="1"/>
    <xf numFmtId="4" fontId="122" fillId="0" borderId="0" xfId="3230" applyNumberFormat="1" applyFont="1" applyAlignment="1" applyProtection="1">
      <alignment horizontal="left"/>
    </xf>
    <xf numFmtId="4" fontId="90" fillId="0" borderId="0" xfId="7" applyNumberFormat="1" applyFont="1" applyAlignment="1" applyProtection="1">
      <alignment horizontal="left"/>
    </xf>
    <xf numFmtId="0" fontId="90" fillId="0" borderId="0" xfId="7" applyFont="1" applyAlignment="1" applyProtection="1">
      <alignment horizontal="left"/>
    </xf>
    <xf numFmtId="0" fontId="90" fillId="0" borderId="0" xfId="7" applyFont="1" applyProtection="1"/>
    <xf numFmtId="0" fontId="121" fillId="0" borderId="0" xfId="7" applyFont="1" applyAlignment="1" applyProtection="1">
      <alignment horizontal="left"/>
    </xf>
    <xf numFmtId="0" fontId="91" fillId="0" borderId="43" xfId="0" applyFont="1" applyFill="1" applyBorder="1" applyAlignment="1" applyProtection="1">
      <alignment horizontal="left" vertical="top" wrapText="1"/>
    </xf>
    <xf numFmtId="0" fontId="91" fillId="0" borderId="51" xfId="0" applyFont="1" applyFill="1" applyBorder="1" applyAlignment="1" applyProtection="1">
      <alignment horizontal="left" vertical="top" wrapText="1"/>
    </xf>
    <xf numFmtId="0" fontId="120" fillId="0" borderId="0" xfId="0" applyFont="1"/>
    <xf numFmtId="4" fontId="93" fillId="0" borderId="57" xfId="0" applyNumberFormat="1" applyFont="1" applyFill="1" applyBorder="1" applyAlignment="1" applyProtection="1">
      <alignment horizontal="center" vertical="center" wrapText="1"/>
    </xf>
    <xf numFmtId="0" fontId="124" fillId="0" borderId="0" xfId="0" applyFont="1" applyAlignment="1" applyProtection="1">
      <alignment horizontal="center"/>
    </xf>
    <xf numFmtId="0" fontId="125" fillId="0" borderId="0" xfId="0" applyFont="1" applyAlignment="1" applyProtection="1">
      <alignment horizontal="center" vertical="center"/>
    </xf>
    <xf numFmtId="0" fontId="88" fillId="0" borderId="62" xfId="0" applyFont="1" applyBorder="1" applyAlignment="1">
      <alignment horizontal="right" vertical="center"/>
    </xf>
    <xf numFmtId="0" fontId="105" fillId="0" borderId="48" xfId="0" applyFont="1" applyFill="1" applyBorder="1" applyAlignment="1" applyProtection="1">
      <alignment horizontal="justify" vertical="center" wrapText="1"/>
    </xf>
    <xf numFmtId="0" fontId="96" fillId="70" borderId="71" xfId="0" applyFont="1" applyFill="1" applyBorder="1" applyAlignment="1" applyProtection="1">
      <alignment vertical="center"/>
    </xf>
    <xf numFmtId="0" fontId="96" fillId="70" borderId="74" xfId="0" applyFont="1" applyFill="1" applyBorder="1" applyAlignment="1" applyProtection="1">
      <alignment vertical="center"/>
    </xf>
    <xf numFmtId="1" fontId="112" fillId="73" borderId="0" xfId="11" applyNumberFormat="1" applyFont="1" applyFill="1" applyBorder="1" applyAlignment="1" applyProtection="1">
      <alignment horizontal="center" vertical="center"/>
    </xf>
    <xf numFmtId="0" fontId="90" fillId="2" borderId="0" xfId="0" applyFont="1" applyFill="1" applyBorder="1" applyAlignment="1" applyProtection="1">
      <alignment horizontal="center" vertical="center" wrapText="1"/>
    </xf>
    <xf numFmtId="0" fontId="90" fillId="0" borderId="0" xfId="7" applyFont="1" applyBorder="1" applyAlignment="1" applyProtection="1">
      <alignment horizontal="justify" vertical="center" wrapText="1"/>
    </xf>
    <xf numFmtId="4" fontId="90" fillId="0" borderId="0" xfId="0" applyNumberFormat="1" applyFont="1" applyFill="1" applyBorder="1" applyAlignment="1" applyProtection="1">
      <alignment horizontal="right" vertical="center" wrapText="1"/>
    </xf>
    <xf numFmtId="1" fontId="112" fillId="71" borderId="42" xfId="11" applyNumberFormat="1" applyFont="1" applyFill="1" applyBorder="1" applyAlignment="1" applyProtection="1">
      <alignment horizontal="center" vertical="center"/>
    </xf>
    <xf numFmtId="0" fontId="84" fillId="67" borderId="42" xfId="0" applyFont="1" applyFill="1" applyBorder="1" applyAlignment="1" applyProtection="1">
      <alignment horizontal="center"/>
    </xf>
    <xf numFmtId="0" fontId="95" fillId="70" borderId="0" xfId="0" applyFont="1" applyFill="1" applyBorder="1" applyAlignment="1" applyProtection="1">
      <alignment horizontal="left" vertical="center"/>
    </xf>
    <xf numFmtId="198" fontId="98" fillId="0" borderId="0" xfId="0" applyNumberFormat="1" applyFont="1" applyFill="1" applyBorder="1" applyAlignment="1" applyProtection="1">
      <alignment horizontal="center" vertical="center"/>
      <protection locked="0"/>
    </xf>
    <xf numFmtId="0" fontId="115" fillId="0" borderId="75" xfId="0" applyFont="1" applyFill="1" applyBorder="1" applyAlignment="1" applyProtection="1">
      <alignment horizontal="center" vertical="center" wrapText="1"/>
    </xf>
    <xf numFmtId="0" fontId="105" fillId="0" borderId="75" xfId="0" applyFont="1" applyFill="1" applyBorder="1" applyAlignment="1" applyProtection="1">
      <alignment horizontal="justify" vertical="center" wrapText="1"/>
    </xf>
    <xf numFmtId="1" fontId="103" fillId="0" borderId="0" xfId="12" applyNumberFormat="1" applyFont="1" applyBorder="1" applyAlignment="1" applyProtection="1">
      <alignment horizontal="center" vertical="center" wrapText="1"/>
    </xf>
    <xf numFmtId="0" fontId="131" fillId="0" borderId="0" xfId="7" applyFont="1" applyAlignment="1" applyProtection="1">
      <alignment horizontal="center"/>
    </xf>
    <xf numFmtId="0" fontId="103" fillId="0" borderId="28" xfId="0" applyFont="1" applyBorder="1" applyAlignment="1" applyProtection="1">
      <alignment horizontal="center" vertical="center"/>
    </xf>
    <xf numFmtId="0" fontId="103" fillId="68" borderId="28" xfId="0" applyFont="1" applyFill="1" applyBorder="1" applyAlignment="1" applyProtection="1">
      <alignment horizontal="center" vertical="center"/>
    </xf>
    <xf numFmtId="0" fontId="103" fillId="0" borderId="28" xfId="0" applyFont="1" applyFill="1" applyBorder="1" applyAlignment="1" applyProtection="1">
      <alignment horizontal="center" vertical="center" wrapText="1"/>
    </xf>
    <xf numFmtId="0" fontId="103" fillId="68" borderId="28" xfId="0" applyFont="1" applyFill="1" applyBorder="1" applyAlignment="1" applyProtection="1">
      <alignment horizontal="center" vertical="center" wrapText="1"/>
    </xf>
    <xf numFmtId="0" fontId="103" fillId="2" borderId="28" xfId="0" applyFont="1" applyFill="1" applyBorder="1" applyAlignment="1" applyProtection="1">
      <alignment horizontal="center" vertical="center" wrapText="1"/>
    </xf>
    <xf numFmtId="0" fontId="132" fillId="0" borderId="0" xfId="0" applyFont="1" applyAlignment="1">
      <alignment horizontal="center"/>
    </xf>
    <xf numFmtId="0" fontId="128" fillId="0" borderId="75" xfId="0" applyFont="1" applyFill="1" applyBorder="1" applyAlignment="1" applyProtection="1">
      <alignment horizontal="center" vertical="center" wrapText="1"/>
    </xf>
    <xf numFmtId="0" fontId="115" fillId="0" borderId="36" xfId="0" applyFont="1" applyFill="1" applyBorder="1" applyAlignment="1" applyProtection="1">
      <alignment horizontal="center" vertical="center" wrapText="1"/>
    </xf>
    <xf numFmtId="0" fontId="105" fillId="0" borderId="75" xfId="0" applyFont="1" applyFill="1" applyBorder="1" applyAlignment="1" applyProtection="1">
      <alignment horizontal="center" vertical="center" wrapText="1"/>
    </xf>
    <xf numFmtId="0" fontId="110" fillId="2" borderId="0" xfId="0" applyFont="1" applyFill="1" applyBorder="1" applyAlignment="1" applyProtection="1">
      <alignment horizontal="justify" vertical="center" wrapText="1"/>
    </xf>
    <xf numFmtId="0" fontId="121" fillId="0" borderId="0" xfId="7" applyFont="1" applyAlignment="1" applyProtection="1">
      <alignment horizontal="justify"/>
    </xf>
    <xf numFmtId="0" fontId="91" fillId="0" borderId="44" xfId="0" applyFont="1" applyFill="1" applyBorder="1" applyAlignment="1" applyProtection="1">
      <alignment horizontal="justify" wrapText="1"/>
    </xf>
    <xf numFmtId="0" fontId="0" fillId="0" borderId="0" xfId="0" applyAlignment="1">
      <alignment horizontal="justify"/>
    </xf>
    <xf numFmtId="0" fontId="119" fillId="0" borderId="36" xfId="0" applyFont="1" applyFill="1" applyBorder="1" applyAlignment="1" applyProtection="1">
      <alignment horizontal="justify" vertical="center" wrapText="1"/>
    </xf>
    <xf numFmtId="0" fontId="105" fillId="0" borderId="75" xfId="0" applyFont="1" applyFill="1" applyBorder="1" applyAlignment="1" applyProtection="1">
      <alignment horizontal="center" vertical="center"/>
    </xf>
    <xf numFmtId="0" fontId="115" fillId="0" borderId="81" xfId="7" applyFont="1" applyFill="1" applyBorder="1" applyAlignment="1" applyProtection="1">
      <alignment horizontal="justify" vertical="center" wrapText="1"/>
    </xf>
    <xf numFmtId="0" fontId="115" fillId="0" borderId="81" xfId="7" applyFont="1" applyBorder="1" applyAlignment="1" applyProtection="1">
      <alignment horizontal="center" vertical="center" wrapText="1"/>
    </xf>
    <xf numFmtId="4" fontId="115" fillId="0" borderId="81" xfId="0" applyNumberFormat="1" applyFont="1" applyFill="1" applyBorder="1" applyAlignment="1" applyProtection="1">
      <alignment horizontal="right" vertical="center" wrapText="1"/>
    </xf>
    <xf numFmtId="1" fontId="112" fillId="76" borderId="0" xfId="11" applyNumberFormat="1" applyFont="1" applyFill="1" applyBorder="1" applyAlignment="1" applyProtection="1">
      <alignment horizontal="center" vertical="center"/>
    </xf>
    <xf numFmtId="0" fontId="103" fillId="0" borderId="75" xfId="0" applyFont="1" applyBorder="1" applyAlignment="1">
      <alignment horizontal="center" vertical="center"/>
    </xf>
    <xf numFmtId="0" fontId="119" fillId="0" borderId="75" xfId="0" applyFont="1" applyFill="1" applyBorder="1" applyAlignment="1" applyProtection="1">
      <alignment horizontal="justify" vertical="center" wrapText="1"/>
    </xf>
    <xf numFmtId="4" fontId="105" fillId="0" borderId="46" xfId="1" applyNumberFormat="1" applyFont="1" applyFill="1" applyBorder="1" applyAlignment="1" applyProtection="1">
      <alignment horizontal="right" vertical="center"/>
    </xf>
    <xf numFmtId="0" fontId="134" fillId="0" borderId="75" xfId="0" applyFont="1" applyFill="1" applyBorder="1" applyAlignment="1" applyProtection="1">
      <alignment horizontal="justify" vertical="center" wrapText="1"/>
    </xf>
    <xf numFmtId="0" fontId="105" fillId="0" borderId="36" xfId="0" applyFont="1" applyBorder="1" applyAlignment="1" applyProtection="1">
      <alignment horizontal="center" vertical="center"/>
    </xf>
    <xf numFmtId="0" fontId="134" fillId="0" borderId="36" xfId="7" applyFont="1" applyBorder="1" applyAlignment="1" applyProtection="1">
      <alignment horizontal="justify" vertical="center" wrapText="1"/>
    </xf>
    <xf numFmtId="0" fontId="119" fillId="0" borderId="36" xfId="0" applyFont="1" applyBorder="1" applyAlignment="1" applyProtection="1">
      <alignment horizontal="center" vertical="center" wrapText="1"/>
    </xf>
    <xf numFmtId="4" fontId="119" fillId="0" borderId="36" xfId="1" applyNumberFormat="1" applyFont="1" applyFill="1" applyBorder="1" applyAlignment="1" applyProtection="1">
      <alignment horizontal="right" vertical="center"/>
    </xf>
    <xf numFmtId="4" fontId="115" fillId="0" borderId="36" xfId="0" applyNumberFormat="1" applyFont="1" applyFill="1" applyBorder="1" applyAlignment="1" applyProtection="1">
      <alignment horizontal="right" vertical="center" wrapText="1"/>
    </xf>
    <xf numFmtId="1" fontId="105" fillId="0" borderId="36" xfId="12" applyNumberFormat="1" applyFont="1" applyBorder="1" applyAlignment="1" applyProtection="1">
      <alignment horizontal="center" vertical="center" wrapText="1"/>
    </xf>
    <xf numFmtId="0" fontId="135" fillId="2" borderId="36" xfId="0" applyFont="1" applyFill="1" applyBorder="1" applyAlignment="1" applyProtection="1">
      <alignment horizontal="justify" vertical="center" wrapText="1"/>
    </xf>
    <xf numFmtId="0" fontId="115" fillId="2" borderId="36" xfId="0" applyFont="1" applyFill="1" applyBorder="1" applyAlignment="1" applyProtection="1">
      <alignment horizontal="center" vertical="center" wrapText="1"/>
    </xf>
    <xf numFmtId="1" fontId="105" fillId="0" borderId="48" xfId="11" applyNumberFormat="1" applyFont="1" applyFill="1" applyBorder="1" applyAlignment="1" applyProtection="1">
      <alignment horizontal="center" vertical="center" wrapText="1"/>
    </xf>
    <xf numFmtId="0" fontId="134" fillId="0" borderId="48" xfId="0" applyFont="1" applyBorder="1" applyAlignment="1" applyProtection="1">
      <alignment horizontal="justify" vertical="center" wrapText="1"/>
    </xf>
    <xf numFmtId="0" fontId="115" fillId="0" borderId="48" xfId="0" applyFont="1" applyBorder="1" applyAlignment="1" applyProtection="1">
      <alignment horizontal="center" vertical="center" wrapText="1"/>
    </xf>
    <xf numFmtId="0" fontId="115" fillId="0" borderId="48" xfId="0" applyFont="1" applyBorder="1" applyAlignment="1" applyProtection="1">
      <alignment horizontal="right"/>
    </xf>
    <xf numFmtId="0" fontId="119" fillId="0" borderId="48" xfId="0" applyFont="1" applyFill="1" applyBorder="1" applyAlignment="1" applyProtection="1">
      <alignment horizontal="right"/>
    </xf>
    <xf numFmtId="1" fontId="105" fillId="0" borderId="36" xfId="11" applyNumberFormat="1" applyFont="1" applyFill="1" applyBorder="1" applyAlignment="1" applyProtection="1">
      <alignment horizontal="center" vertical="center" wrapText="1"/>
    </xf>
    <xf numFmtId="0" fontId="115" fillId="0" borderId="36" xfId="0" applyFont="1" applyBorder="1" applyAlignment="1" applyProtection="1">
      <alignment horizontal="center" vertical="center" wrapText="1"/>
    </xf>
    <xf numFmtId="4" fontId="115" fillId="2" borderId="36" xfId="0" applyNumberFormat="1" applyFont="1" applyFill="1" applyBorder="1" applyAlignment="1" applyProtection="1">
      <alignment horizontal="right" vertical="center" wrapText="1"/>
    </xf>
    <xf numFmtId="0" fontId="135" fillId="0" borderId="36" xfId="0" applyFont="1" applyFill="1" applyBorder="1" applyAlignment="1" applyProtection="1">
      <alignment horizontal="justify" vertical="center" wrapText="1"/>
    </xf>
    <xf numFmtId="0" fontId="105" fillId="0" borderId="36" xfId="0" applyFont="1" applyBorder="1" applyAlignment="1" applyProtection="1">
      <alignment horizontal="center" vertical="center" wrapText="1"/>
    </xf>
    <xf numFmtId="0" fontId="119" fillId="0" borderId="36" xfId="0" applyFont="1" applyBorder="1" applyAlignment="1" applyProtection="1">
      <alignment horizontal="justify" vertical="center" wrapText="1"/>
    </xf>
    <xf numFmtId="49" fontId="105" fillId="0" borderId="36" xfId="0" applyNumberFormat="1" applyFont="1" applyFill="1" applyBorder="1" applyAlignment="1" applyProtection="1">
      <alignment horizontal="center" vertical="center"/>
    </xf>
    <xf numFmtId="0" fontId="135" fillId="0" borderId="36" xfId="7" applyFont="1" applyFill="1" applyBorder="1" applyAlignment="1" applyProtection="1">
      <alignment horizontal="justify" vertical="center" wrapText="1"/>
      <protection locked="0"/>
    </xf>
    <xf numFmtId="0" fontId="115" fillId="0" borderId="36" xfId="12" applyFont="1" applyFill="1" applyBorder="1" applyAlignment="1">
      <alignment horizontal="justify" vertical="center" wrapText="1"/>
    </xf>
    <xf numFmtId="0" fontId="119" fillId="0" borderId="36" xfId="763" applyFont="1" applyFill="1" applyBorder="1" applyAlignment="1">
      <alignment horizontal="justify" vertical="center" wrapText="1"/>
    </xf>
    <xf numFmtId="1" fontId="105" fillId="0" borderId="48" xfId="12" applyNumberFormat="1" applyFont="1" applyBorder="1" applyAlignment="1" applyProtection="1">
      <alignment horizontal="center" vertical="center" wrapText="1"/>
    </xf>
    <xf numFmtId="1" fontId="105" fillId="0" borderId="36" xfId="12" applyNumberFormat="1" applyFont="1" applyFill="1" applyBorder="1" applyAlignment="1" applyProtection="1">
      <alignment horizontal="center" vertical="center" wrapText="1"/>
    </xf>
    <xf numFmtId="0" fontId="105" fillId="2" borderId="48" xfId="0" applyFont="1" applyFill="1" applyBorder="1" applyAlignment="1" applyProtection="1">
      <alignment horizontal="justify" vertical="center" wrapText="1"/>
    </xf>
    <xf numFmtId="0" fontId="105" fillId="0" borderId="48" xfId="0" applyFont="1" applyFill="1" applyBorder="1" applyAlignment="1" applyProtection="1">
      <alignment horizontal="center" vertical="center" wrapText="1"/>
    </xf>
    <xf numFmtId="4" fontId="105" fillId="2" borderId="48" xfId="0" applyNumberFormat="1" applyFont="1" applyFill="1" applyBorder="1" applyAlignment="1" applyProtection="1">
      <alignment horizontal="center" vertical="center"/>
    </xf>
    <xf numFmtId="4" fontId="105" fillId="0" borderId="48" xfId="0" applyNumberFormat="1" applyFont="1" applyFill="1" applyBorder="1" applyAlignment="1" applyProtection="1">
      <alignment horizontal="center" vertical="center" wrapText="1"/>
    </xf>
    <xf numFmtId="1" fontId="105" fillId="0" borderId="46" xfId="12" applyNumberFormat="1" applyFont="1" applyBorder="1" applyAlignment="1" applyProtection="1">
      <alignment horizontal="center" vertical="center" wrapText="1"/>
    </xf>
    <xf numFmtId="0" fontId="135" fillId="2" borderId="36" xfId="7" applyFont="1" applyFill="1" applyBorder="1" applyAlignment="1" applyProtection="1">
      <alignment horizontal="justify" vertical="center" wrapText="1"/>
    </xf>
    <xf numFmtId="0" fontId="115" fillId="2" borderId="36" xfId="7" applyFont="1" applyFill="1" applyBorder="1" applyAlignment="1" applyProtection="1">
      <alignment horizontal="justify" vertical="center" wrapText="1"/>
    </xf>
    <xf numFmtId="0" fontId="118" fillId="0" borderId="36" xfId="7" applyFont="1" applyFill="1" applyBorder="1" applyAlignment="1">
      <alignment horizontal="justify" vertical="center" wrapText="1"/>
    </xf>
    <xf numFmtId="0" fontId="115" fillId="0" borderId="36" xfId="7" applyFont="1" applyFill="1" applyBorder="1" applyAlignment="1">
      <alignment horizontal="justify" vertical="center" wrapText="1"/>
    </xf>
    <xf numFmtId="0" fontId="105" fillId="2" borderId="36" xfId="0" applyFont="1" applyFill="1" applyBorder="1" applyAlignment="1" applyProtection="1">
      <alignment horizontal="center" vertical="center" wrapText="1"/>
    </xf>
    <xf numFmtId="0" fontId="135" fillId="0" borderId="36" xfId="0" applyFont="1" applyBorder="1" applyAlignment="1" applyProtection="1">
      <alignment horizontal="justify" vertical="center" wrapText="1"/>
    </xf>
    <xf numFmtId="0" fontId="118" fillId="0" borderId="36" xfId="7" applyFont="1" applyBorder="1" applyAlignment="1" applyProtection="1">
      <alignment horizontal="justify" vertical="center" wrapText="1"/>
    </xf>
    <xf numFmtId="0" fontId="115" fillId="0" borderId="36" xfId="7" applyFont="1" applyBorder="1" applyAlignment="1" applyProtection="1">
      <alignment horizontal="center" vertical="center"/>
    </xf>
    <xf numFmtId="0" fontId="118" fillId="0" borderId="46" xfId="7" applyFont="1" applyBorder="1" applyAlignment="1" applyProtection="1">
      <alignment horizontal="justify" vertical="center" wrapText="1"/>
    </xf>
    <xf numFmtId="0" fontId="115" fillId="0" borderId="46" xfId="7" applyFont="1" applyBorder="1" applyAlignment="1" applyProtection="1">
      <alignment horizontal="center" vertical="center"/>
    </xf>
    <xf numFmtId="4" fontId="115" fillId="0" borderId="46" xfId="0" applyNumberFormat="1" applyFont="1" applyFill="1" applyBorder="1" applyAlignment="1" applyProtection="1">
      <alignment horizontal="right" vertical="center" wrapText="1"/>
    </xf>
    <xf numFmtId="1" fontId="105" fillId="0" borderId="81" xfId="12" applyNumberFormat="1" applyFont="1" applyBorder="1" applyAlignment="1" applyProtection="1">
      <alignment horizontal="center" vertical="center" wrapText="1"/>
    </xf>
    <xf numFmtId="0" fontId="118" fillId="0" borderId="81" xfId="7" applyFont="1" applyFill="1" applyBorder="1" applyAlignment="1" applyProtection="1">
      <alignment horizontal="justify" vertical="center" wrapText="1"/>
    </xf>
    <xf numFmtId="0" fontId="115" fillId="0" borderId="81" xfId="7" applyFont="1" applyBorder="1" applyAlignment="1" applyProtection="1">
      <alignment horizontal="center" vertical="center"/>
    </xf>
    <xf numFmtId="0" fontId="118" fillId="0" borderId="81" xfId="7" applyFont="1" applyFill="1" applyBorder="1" applyAlignment="1" applyProtection="1">
      <alignment vertical="center" wrapText="1"/>
    </xf>
    <xf numFmtId="4" fontId="133" fillId="0" borderId="36" xfId="0" applyNumberFormat="1" applyFont="1" applyFill="1" applyBorder="1" applyAlignment="1" applyProtection="1">
      <alignment horizontal="justify" vertical="center" wrapText="1"/>
    </xf>
    <xf numFmtId="0" fontId="119" fillId="0" borderId="48" xfId="0" applyFont="1" applyBorder="1" applyAlignment="1" applyProtection="1">
      <alignment horizontal="justify" vertical="center" wrapText="1"/>
    </xf>
    <xf numFmtId="0" fontId="119" fillId="0" borderId="48" xfId="0" applyFont="1" applyBorder="1" applyProtection="1"/>
    <xf numFmtId="0" fontId="128" fillId="0" borderId="48" xfId="0" applyFont="1" applyBorder="1" applyAlignment="1" applyProtection="1">
      <alignment horizontal="center" vertical="center" wrapText="1"/>
    </xf>
    <xf numFmtId="4" fontId="119" fillId="0" borderId="36" xfId="0" applyNumberFormat="1" applyFont="1" applyFill="1" applyBorder="1" applyAlignment="1" applyProtection="1">
      <alignment horizontal="center" vertical="center"/>
    </xf>
    <xf numFmtId="0" fontId="134" fillId="0" borderId="46" xfId="7" applyFont="1" applyBorder="1" applyAlignment="1" applyProtection="1">
      <alignment horizontal="justify" vertical="center" wrapText="1"/>
    </xf>
    <xf numFmtId="0" fontId="119" fillId="0" borderId="46" xfId="7" applyFont="1" applyBorder="1" applyAlignment="1" applyProtection="1">
      <alignment horizontal="center" vertical="center" wrapText="1"/>
    </xf>
    <xf numFmtId="4" fontId="119" fillId="0" borderId="46" xfId="1" applyNumberFormat="1" applyFont="1" applyFill="1" applyBorder="1" applyAlignment="1" applyProtection="1">
      <alignment horizontal="right" vertical="center"/>
    </xf>
    <xf numFmtId="0" fontId="135" fillId="0" borderId="75" xfId="7" applyFont="1" applyBorder="1" applyAlignment="1" applyProtection="1">
      <alignment horizontal="justify" vertical="center" wrapText="1"/>
    </xf>
    <xf numFmtId="0" fontId="119" fillId="0" borderId="75" xfId="7" applyFont="1" applyBorder="1" applyAlignment="1" applyProtection="1">
      <alignment horizontal="center" vertical="center" wrapText="1"/>
    </xf>
    <xf numFmtId="4" fontId="119" fillId="0" borderId="75" xfId="1" applyNumberFormat="1" applyFont="1" applyFill="1" applyBorder="1" applyAlignment="1" applyProtection="1">
      <alignment horizontal="right" vertical="center"/>
    </xf>
    <xf numFmtId="0" fontId="105" fillId="0" borderId="75" xfId="0" applyFont="1" applyBorder="1" applyAlignment="1" applyProtection="1">
      <alignment horizontal="center" vertical="center"/>
    </xf>
    <xf numFmtId="4" fontId="105" fillId="0" borderId="75" xfId="0" applyNumberFormat="1" applyFont="1" applyFill="1" applyBorder="1" applyAlignment="1" applyProtection="1">
      <alignment vertical="center" wrapText="1"/>
    </xf>
    <xf numFmtId="0" fontId="105" fillId="0" borderId="48" xfId="0" applyFont="1" applyBorder="1" applyAlignment="1" applyProtection="1">
      <alignment horizontal="center" vertical="center"/>
    </xf>
    <xf numFmtId="0" fontId="105" fillId="0" borderId="46" xfId="0" applyFont="1" applyBorder="1" applyAlignment="1" applyProtection="1">
      <alignment horizontal="center" vertical="center"/>
    </xf>
    <xf numFmtId="3" fontId="105" fillId="0" borderId="36" xfId="0" applyNumberFormat="1" applyFont="1" applyFill="1" applyBorder="1" applyAlignment="1" applyProtection="1">
      <alignment horizontal="center" vertical="center"/>
    </xf>
    <xf numFmtId="4" fontId="119" fillId="0" borderId="46" xfId="0" applyNumberFormat="1" applyFont="1" applyFill="1" applyBorder="1" applyAlignment="1" applyProtection="1">
      <alignment horizontal="right" vertical="center" wrapText="1"/>
    </xf>
    <xf numFmtId="0" fontId="119" fillId="0" borderId="81" xfId="0" applyFont="1" applyBorder="1" applyAlignment="1" applyProtection="1">
      <alignment horizontal="center" vertical="center" wrapText="1"/>
    </xf>
    <xf numFmtId="4" fontId="119" fillId="0" borderId="47" xfId="0" applyNumberFormat="1" applyFont="1" applyFill="1" applyBorder="1" applyAlignment="1" applyProtection="1">
      <alignment horizontal="right" vertical="center" wrapText="1"/>
    </xf>
    <xf numFmtId="0" fontId="133" fillId="0" borderId="75" xfId="0" applyFont="1" applyFill="1" applyBorder="1" applyAlignment="1" applyProtection="1">
      <alignment horizontal="justify" vertical="center" wrapText="1"/>
    </xf>
    <xf numFmtId="0" fontId="105" fillId="0" borderId="75" xfId="0" applyFont="1" applyBorder="1" applyAlignment="1" applyProtection="1">
      <alignment horizontal="center" vertical="center" wrapText="1"/>
    </xf>
    <xf numFmtId="4" fontId="119" fillId="0" borderId="75" xfId="0" applyNumberFormat="1" applyFont="1" applyFill="1" applyBorder="1" applyAlignment="1" applyProtection="1">
      <alignment horizontal="right" vertical="center" wrapText="1"/>
    </xf>
    <xf numFmtId="0" fontId="105" fillId="0" borderId="85" xfId="0" applyFont="1" applyBorder="1" applyAlignment="1" applyProtection="1">
      <alignment horizontal="center" vertical="center" wrapText="1"/>
    </xf>
    <xf numFmtId="0" fontId="133" fillId="0" borderId="85" xfId="0" applyFont="1" applyFill="1" applyBorder="1" applyAlignment="1" applyProtection="1">
      <alignment horizontal="justify" vertical="center" wrapText="1"/>
    </xf>
    <xf numFmtId="0" fontId="119" fillId="0" borderId="85" xfId="0" applyFont="1" applyBorder="1" applyAlignment="1" applyProtection="1">
      <alignment horizontal="center" vertical="center" wrapText="1"/>
    </xf>
    <xf numFmtId="0" fontId="119" fillId="74" borderId="81" xfId="0" applyFont="1" applyFill="1" applyBorder="1" applyAlignment="1" applyProtection="1">
      <alignment horizontal="center" vertical="center" wrapText="1"/>
    </xf>
    <xf numFmtId="4" fontId="119" fillId="74" borderId="46" xfId="0" applyNumberFormat="1" applyFont="1" applyFill="1" applyBorder="1" applyAlignment="1" applyProtection="1">
      <alignment horizontal="right" vertical="center" wrapText="1"/>
    </xf>
    <xf numFmtId="0" fontId="119" fillId="75" borderId="81" xfId="0" applyFont="1" applyFill="1" applyBorder="1" applyAlignment="1" applyProtection="1">
      <alignment horizontal="center" vertical="center" wrapText="1"/>
    </xf>
    <xf numFmtId="4" fontId="119" fillId="75" borderId="46" xfId="0" applyNumberFormat="1" applyFont="1" applyFill="1" applyBorder="1" applyAlignment="1" applyProtection="1">
      <alignment horizontal="right" vertical="center" wrapText="1"/>
    </xf>
    <xf numFmtId="0" fontId="133" fillId="0" borderId="81" xfId="0" applyFont="1" applyFill="1" applyBorder="1" applyAlignment="1" applyProtection="1">
      <alignment horizontal="justify" vertical="center" wrapText="1"/>
    </xf>
    <xf numFmtId="0" fontId="119" fillId="75" borderId="84" xfId="0" applyFont="1" applyFill="1" applyBorder="1" applyAlignment="1" applyProtection="1">
      <alignment horizontal="center" vertical="center" wrapText="1"/>
    </xf>
    <xf numFmtId="0" fontId="119" fillId="0" borderId="75" xfId="0" applyFont="1" applyFill="1" applyBorder="1" applyAlignment="1" applyProtection="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115" fillId="0" borderId="36" xfId="12" applyFont="1" applyFill="1" applyBorder="1" applyAlignment="1">
      <alignment horizontal="justify" vertical="center" wrapText="1"/>
    </xf>
    <xf numFmtId="0" fontId="119" fillId="0" borderId="36" xfId="0" applyFont="1" applyFill="1" applyBorder="1" applyAlignment="1" applyProtection="1">
      <alignment horizontal="justify" vertical="center" wrapText="1"/>
    </xf>
    <xf numFmtId="4" fontId="119" fillId="0" borderId="36" xfId="0" applyNumberFormat="1" applyFont="1" applyFill="1" applyBorder="1" applyAlignment="1" applyProtection="1">
      <alignment horizontal="justify" vertical="center" wrapText="1"/>
    </xf>
    <xf numFmtId="4" fontId="142" fillId="0" borderId="36" xfId="0" applyNumberFormat="1" applyFont="1" applyFill="1" applyBorder="1" applyAlignment="1" applyProtection="1">
      <alignment horizontal="center" vertical="center"/>
    </xf>
    <xf numFmtId="4" fontId="145" fillId="0" borderId="36" xfId="0" applyNumberFormat="1" applyFont="1" applyFill="1" applyBorder="1" applyAlignment="1" applyProtection="1">
      <alignment horizontal="justify" vertical="center" wrapText="1"/>
    </xf>
    <xf numFmtId="4" fontId="142" fillId="0" borderId="36" xfId="1" applyNumberFormat="1" applyFont="1" applyFill="1" applyBorder="1" applyAlignment="1" applyProtection="1">
      <alignment horizontal="right" vertical="center"/>
    </xf>
    <xf numFmtId="4" fontId="119" fillId="0" borderId="36" xfId="0" applyNumberFormat="1" applyFont="1" applyFill="1" applyBorder="1" applyAlignment="1" applyProtection="1">
      <alignment horizontal="left" vertical="center" wrapText="1"/>
    </xf>
    <xf numFmtId="4" fontId="145" fillId="0" borderId="36" xfId="0" applyNumberFormat="1" applyFont="1" applyFill="1" applyBorder="1" applyAlignment="1" applyProtection="1">
      <alignment horizontal="left" vertical="center" wrapText="1"/>
    </xf>
    <xf numFmtId="4" fontId="91" fillId="70" borderId="36" xfId="1" applyNumberFormat="1" applyFont="1" applyFill="1" applyBorder="1" applyAlignment="1" applyProtection="1">
      <alignment horizontal="right" vertical="center"/>
    </xf>
    <xf numFmtId="4" fontId="91" fillId="70" borderId="46" xfId="1" applyNumberFormat="1" applyFont="1" applyFill="1" applyBorder="1" applyAlignment="1" applyProtection="1">
      <alignment horizontal="right" vertical="center"/>
    </xf>
    <xf numFmtId="0" fontId="135" fillId="0" borderId="75" xfId="7" applyFont="1" applyFill="1" applyBorder="1" applyAlignment="1" applyProtection="1">
      <alignment horizontal="justify" vertical="center" wrapText="1"/>
    </xf>
    <xf numFmtId="0" fontId="119" fillId="0" borderId="75" xfId="7" applyFont="1" applyFill="1" applyBorder="1" applyAlignment="1" applyProtection="1">
      <alignment horizontal="center" vertical="center" wrapText="1"/>
    </xf>
    <xf numFmtId="0" fontId="142" fillId="0" borderId="75" xfId="7" applyFont="1" applyFill="1" applyBorder="1" applyAlignment="1" applyProtection="1">
      <alignment horizontal="center" vertical="center" wrapText="1"/>
    </xf>
    <xf numFmtId="0" fontId="145" fillId="0" borderId="75" xfId="0" applyFont="1" applyFill="1" applyBorder="1" applyAlignment="1" applyProtection="1">
      <alignment horizontal="justify" vertical="center" wrapText="1"/>
    </xf>
    <xf numFmtId="4" fontId="93" fillId="0" borderId="75" xfId="0" applyNumberFormat="1" applyFont="1" applyFill="1" applyBorder="1" applyAlignment="1" applyProtection="1">
      <alignment vertical="center" wrapText="1"/>
    </xf>
    <xf numFmtId="4" fontId="142" fillId="0" borderId="75" xfId="1" applyNumberFormat="1" applyFont="1" applyFill="1" applyBorder="1" applyAlignment="1" applyProtection="1">
      <alignment horizontal="right" vertical="center"/>
    </xf>
    <xf numFmtId="0" fontId="134" fillId="0" borderId="75" xfId="7" applyFont="1" applyFill="1" applyBorder="1" applyAlignment="1" applyProtection="1">
      <alignment horizontal="justify" vertical="center" wrapText="1"/>
    </xf>
    <xf numFmtId="0" fontId="142" fillId="0" borderId="78" xfId="7" applyFont="1" applyFill="1" applyBorder="1" applyAlignment="1" applyProtection="1">
      <alignment horizontal="center" vertical="center" wrapText="1"/>
    </xf>
    <xf numFmtId="0" fontId="145" fillId="0" borderId="78" xfId="0" applyFont="1" applyFill="1" applyBorder="1" applyAlignment="1" applyProtection="1">
      <alignment horizontal="justify" vertical="center" wrapText="1"/>
    </xf>
    <xf numFmtId="4" fontId="93" fillId="0" borderId="78" xfId="0" applyNumberFormat="1" applyFont="1" applyFill="1" applyBorder="1" applyAlignment="1" applyProtection="1">
      <alignment vertical="center" wrapText="1"/>
    </xf>
    <xf numFmtId="4" fontId="142" fillId="0" borderId="78" xfId="1" applyNumberFormat="1" applyFont="1" applyFill="1" applyBorder="1" applyAlignment="1" applyProtection="1">
      <alignment horizontal="right" vertical="center"/>
    </xf>
    <xf numFmtId="4" fontId="119" fillId="0" borderId="96" xfId="0" applyNumberFormat="1" applyFont="1" applyFill="1" applyBorder="1" applyAlignment="1" applyProtection="1">
      <alignment horizontal="right" vertical="center" wrapText="1"/>
    </xf>
    <xf numFmtId="4" fontId="115" fillId="0" borderId="48" xfId="0" applyNumberFormat="1" applyFont="1" applyFill="1" applyBorder="1" applyAlignment="1" applyProtection="1">
      <alignment horizontal="right" vertical="center" wrapText="1"/>
    </xf>
    <xf numFmtId="0" fontId="134" fillId="2" borderId="48" xfId="7" applyFont="1" applyFill="1" applyBorder="1" applyAlignment="1" applyProtection="1">
      <alignment horizontal="justify" vertical="center" wrapText="1"/>
    </xf>
    <xf numFmtId="0" fontId="134" fillId="2" borderId="48" xfId="0" applyFont="1" applyFill="1" applyBorder="1" applyAlignment="1" applyProtection="1">
      <alignment horizontal="center" vertical="center" wrapText="1"/>
    </xf>
    <xf numFmtId="0" fontId="134" fillId="0" borderId="36" xfId="7" applyFont="1" applyFill="1" applyBorder="1" applyAlignment="1" applyProtection="1">
      <alignment horizontal="justify" vertical="center" wrapText="1"/>
    </xf>
    <xf numFmtId="0" fontId="134" fillId="0" borderId="36" xfId="0" applyFont="1" applyFill="1" applyBorder="1" applyAlignment="1" applyProtection="1">
      <alignment horizontal="center" vertical="center" wrapText="1"/>
    </xf>
    <xf numFmtId="0" fontId="107" fillId="0" borderId="36" xfId="12" applyFont="1" applyFill="1" applyBorder="1" applyAlignment="1">
      <alignment horizontal="justify" vertical="center" wrapText="1"/>
    </xf>
    <xf numFmtId="0" fontId="106" fillId="0" borderId="36" xfId="12" applyFont="1" applyFill="1" applyBorder="1" applyAlignment="1">
      <alignment horizontal="left" vertical="center" wrapText="1"/>
    </xf>
    <xf numFmtId="0" fontId="106" fillId="0" borderId="36" xfId="0" applyFont="1" applyFill="1" applyBorder="1" applyAlignment="1" applyProtection="1">
      <alignment horizontal="justify" vertical="center" wrapText="1"/>
    </xf>
    <xf numFmtId="0" fontId="105" fillId="0" borderId="36" xfId="0" applyFont="1" applyFill="1" applyBorder="1" applyAlignment="1" applyProtection="1">
      <alignment horizontal="center" vertical="center" wrapText="1"/>
    </xf>
    <xf numFmtId="0" fontId="105" fillId="0" borderId="36" xfId="0" applyFont="1" applyFill="1" applyBorder="1" applyAlignment="1" applyProtection="1">
      <alignment horizontal="justify" vertical="center" wrapText="1"/>
    </xf>
    <xf numFmtId="4" fontId="105" fillId="0" borderId="36" xfId="0" applyNumberFormat="1" applyFont="1" applyFill="1" applyBorder="1" applyAlignment="1" applyProtection="1">
      <alignment horizontal="right" vertical="center"/>
    </xf>
    <xf numFmtId="0" fontId="134" fillId="0" borderId="36" xfId="0" applyFont="1" applyFill="1" applyBorder="1" applyAlignment="1" applyProtection="1">
      <alignment horizontal="justify" vertical="center" wrapText="1"/>
    </xf>
    <xf numFmtId="0" fontId="115" fillId="0" borderId="36" xfId="7" applyFont="1" applyFill="1" applyBorder="1" applyAlignment="1" applyProtection="1">
      <alignment horizontal="center" vertical="center" wrapText="1"/>
    </xf>
    <xf numFmtId="0" fontId="105" fillId="0" borderId="36" xfId="7" applyFont="1" applyFill="1" applyBorder="1" applyAlignment="1" applyProtection="1">
      <alignment horizontal="justify" vertical="center" wrapText="1"/>
    </xf>
    <xf numFmtId="0" fontId="93" fillId="0" borderId="36" xfId="0" applyFont="1" applyFill="1" applyBorder="1" applyAlignment="1" applyProtection="1">
      <alignment horizontal="center" vertical="center" wrapText="1"/>
    </xf>
    <xf numFmtId="0" fontId="119" fillId="0" borderId="36" xfId="0" applyFont="1" applyFill="1" applyBorder="1" applyAlignment="1" applyProtection="1">
      <alignment horizontal="center" vertical="center" wrapText="1"/>
    </xf>
    <xf numFmtId="4" fontId="119" fillId="0" borderId="36" xfId="0" applyNumberFormat="1" applyFont="1" applyFill="1" applyBorder="1" applyAlignment="1" applyProtection="1">
      <alignment horizontal="justify" vertical="center"/>
    </xf>
    <xf numFmtId="4" fontId="142" fillId="0" borderId="36" xfId="0" applyNumberFormat="1" applyFont="1" applyFill="1" applyBorder="1" applyAlignment="1" applyProtection="1">
      <alignment horizontal="center" vertical="center" wrapText="1"/>
    </xf>
    <xf numFmtId="0" fontId="105" fillId="0" borderId="96" xfId="0" applyFont="1" applyFill="1" applyBorder="1" applyAlignment="1" applyProtection="1">
      <alignment horizontal="center" vertical="center"/>
    </xf>
    <xf numFmtId="0" fontId="119" fillId="0" borderId="96" xfId="0" applyFont="1" applyFill="1" applyBorder="1" applyAlignment="1" applyProtection="1">
      <alignment horizontal="justify" vertical="center" wrapText="1"/>
    </xf>
    <xf numFmtId="0" fontId="105" fillId="0" borderId="96" xfId="0" applyFont="1" applyFill="1" applyBorder="1" applyAlignment="1" applyProtection="1">
      <alignment horizontal="center" vertical="center" wrapText="1"/>
    </xf>
    <xf numFmtId="4" fontId="105" fillId="0" borderId="47" xfId="1" applyNumberFormat="1" applyFont="1" applyFill="1" applyBorder="1" applyAlignment="1" applyProtection="1">
      <alignment horizontal="right" vertical="center"/>
    </xf>
    <xf numFmtId="1" fontId="112" fillId="76" borderId="81" xfId="11" applyNumberFormat="1" applyFont="1" applyFill="1" applyBorder="1" applyAlignment="1" applyProtection="1">
      <alignment horizontal="center" vertical="center"/>
    </xf>
    <xf numFmtId="4" fontId="93" fillId="0" borderId="36" xfId="0" applyNumberFormat="1" applyFont="1" applyFill="1" applyBorder="1" applyAlignment="1" applyProtection="1">
      <alignment horizontal="right" vertical="center"/>
    </xf>
    <xf numFmtId="4" fontId="142" fillId="0" borderId="36" xfId="0" applyNumberFormat="1" applyFont="1" applyFill="1" applyBorder="1" applyAlignment="1" applyProtection="1">
      <alignment horizontal="justify" vertical="center" wrapText="1"/>
    </xf>
    <xf numFmtId="0" fontId="103" fillId="0" borderId="36" xfId="0" applyFont="1" applyFill="1" applyBorder="1" applyAlignment="1" applyProtection="1">
      <alignment horizontal="center" vertical="center"/>
    </xf>
    <xf numFmtId="0" fontId="93" fillId="0" borderId="75" xfId="0" applyFont="1" applyFill="1" applyBorder="1" applyAlignment="1" applyProtection="1">
      <alignment horizontal="right" vertical="center"/>
    </xf>
    <xf numFmtId="0" fontId="147" fillId="0" borderId="75" xfId="7" applyFont="1" applyFill="1" applyBorder="1" applyAlignment="1" applyProtection="1">
      <alignment horizontal="justify" vertical="center" wrapText="1"/>
    </xf>
    <xf numFmtId="0" fontId="148" fillId="0" borderId="75" xfId="7" applyFont="1" applyFill="1" applyBorder="1" applyAlignment="1" applyProtection="1">
      <alignment horizontal="justify" vertical="center" wrapText="1"/>
    </xf>
    <xf numFmtId="0" fontId="93" fillId="0" borderId="78" xfId="0" applyFont="1" applyFill="1" applyBorder="1" applyAlignment="1" applyProtection="1">
      <alignment horizontal="right" vertical="center"/>
    </xf>
    <xf numFmtId="0" fontId="148" fillId="0" borderId="78" xfId="7" applyFont="1" applyFill="1" applyBorder="1" applyAlignment="1" applyProtection="1">
      <alignment horizontal="justify" vertical="center" wrapText="1"/>
    </xf>
    <xf numFmtId="0" fontId="105" fillId="0" borderId="81" xfId="0" applyFont="1" applyFill="1" applyBorder="1" applyAlignment="1" applyProtection="1">
      <alignment horizontal="center" vertical="center" wrapText="1"/>
    </xf>
    <xf numFmtId="1" fontId="93" fillId="0" borderId="36" xfId="11" applyNumberFormat="1" applyFont="1" applyFill="1" applyBorder="1" applyAlignment="1" applyProtection="1">
      <alignment horizontal="right" vertical="center" wrapText="1"/>
    </xf>
    <xf numFmtId="0" fontId="93" fillId="0" borderId="36" xfId="12" applyFont="1" applyFill="1" applyBorder="1" applyAlignment="1" applyProtection="1">
      <alignment horizontal="right" vertical="center" wrapText="1"/>
    </xf>
    <xf numFmtId="0" fontId="118" fillId="0" borderId="36" xfId="7" applyFont="1" applyFill="1" applyBorder="1" applyAlignment="1" applyProtection="1">
      <alignment horizontal="justify" vertical="center" wrapText="1"/>
    </xf>
    <xf numFmtId="0" fontId="115" fillId="0" borderId="36" xfId="7" applyFont="1" applyFill="1" applyBorder="1" applyAlignment="1" applyProtection="1">
      <alignment horizontal="center" vertical="center"/>
    </xf>
    <xf numFmtId="0" fontId="134" fillId="0" borderId="36" xfId="7" applyFont="1" applyFill="1" applyBorder="1" applyAlignment="1" applyProtection="1">
      <alignment horizontal="justify" vertical="center" wrapText="1"/>
      <protection locked="0"/>
    </xf>
    <xf numFmtId="1" fontId="93" fillId="0" borderId="36" xfId="12" applyNumberFormat="1" applyFont="1" applyFill="1" applyBorder="1" applyAlignment="1" applyProtection="1">
      <alignment horizontal="right" vertical="center" wrapText="1"/>
    </xf>
    <xf numFmtId="0" fontId="93" fillId="0" borderId="36" xfId="0" applyFont="1" applyFill="1" applyBorder="1" applyAlignment="1" applyProtection="1">
      <alignment horizontal="right" vertical="center" wrapText="1"/>
    </xf>
    <xf numFmtId="49" fontId="93" fillId="0" borderId="36" xfId="11" applyNumberFormat="1" applyFont="1" applyFill="1" applyBorder="1" applyAlignment="1" applyProtection="1">
      <alignment horizontal="right" vertical="center" wrapText="1"/>
    </xf>
    <xf numFmtId="49" fontId="93" fillId="0" borderId="36" xfId="0" applyNumberFormat="1" applyFont="1" applyFill="1" applyBorder="1" applyAlignment="1" applyProtection="1">
      <alignment horizontal="right" vertical="center"/>
    </xf>
    <xf numFmtId="0" fontId="93" fillId="0" borderId="36" xfId="0" applyFont="1" applyFill="1" applyBorder="1" applyAlignment="1" applyProtection="1">
      <alignment horizontal="right" vertical="center"/>
    </xf>
    <xf numFmtId="0" fontId="105" fillId="0" borderId="36" xfId="0" applyFont="1" applyFill="1" applyBorder="1" applyAlignment="1" applyProtection="1">
      <alignment horizontal="center" vertical="center"/>
    </xf>
    <xf numFmtId="0" fontId="149" fillId="0" borderId="0" xfId="0" applyFont="1" applyAlignment="1">
      <alignment wrapText="1"/>
    </xf>
    <xf numFmtId="0" fontId="91" fillId="0" borderId="78" xfId="0" applyFont="1" applyBorder="1" applyAlignment="1">
      <alignment horizontal="left" vertical="center" wrapText="1"/>
    </xf>
    <xf numFmtId="0" fontId="91" fillId="0" borderId="96" xfId="0" applyFont="1" applyBorder="1" applyAlignment="1">
      <alignment horizontal="left" vertical="center" wrapText="1"/>
    </xf>
    <xf numFmtId="0" fontId="103" fillId="0" borderId="78" xfId="0" applyFont="1" applyBorder="1" applyAlignment="1">
      <alignment horizontal="center" vertical="center"/>
    </xf>
    <xf numFmtId="0" fontId="103" fillId="0" borderId="96" xfId="0" applyFont="1" applyBorder="1" applyAlignment="1">
      <alignment horizontal="center" vertical="center"/>
    </xf>
    <xf numFmtId="4" fontId="119" fillId="0" borderId="57" xfId="0" applyNumberFormat="1" applyFont="1" applyFill="1" applyBorder="1" applyAlignment="1" applyProtection="1">
      <alignment horizontal="justify" vertical="center" wrapText="1"/>
    </xf>
    <xf numFmtId="4" fontId="119" fillId="0" borderId="53" xfId="0" applyNumberFormat="1" applyFont="1" applyFill="1" applyBorder="1" applyAlignment="1" applyProtection="1">
      <alignment horizontal="justify" vertical="center" wrapText="1"/>
    </xf>
    <xf numFmtId="4" fontId="119" fillId="0" borderId="42" xfId="0" applyNumberFormat="1" applyFont="1" applyFill="1" applyBorder="1" applyAlignment="1" applyProtection="1">
      <alignment horizontal="justify" vertical="center" wrapText="1"/>
    </xf>
    <xf numFmtId="4" fontId="119" fillId="0" borderId="55" xfId="0" applyNumberFormat="1" applyFont="1" applyFill="1" applyBorder="1" applyAlignment="1" applyProtection="1">
      <alignment horizontal="justify" vertical="center" wrapText="1"/>
    </xf>
    <xf numFmtId="0" fontId="115" fillId="2" borderId="37" xfId="0" applyFont="1" applyFill="1" applyBorder="1" applyAlignment="1" applyProtection="1">
      <alignment horizontal="center" vertical="center" wrapText="1"/>
    </xf>
    <xf numFmtId="0" fontId="115" fillId="2" borderId="41" xfId="0" applyFont="1" applyFill="1" applyBorder="1" applyAlignment="1" applyProtection="1">
      <alignment horizontal="center" vertical="center" wrapText="1"/>
    </xf>
    <xf numFmtId="0" fontId="107" fillId="0" borderId="37" xfId="12" applyFont="1" applyFill="1" applyBorder="1" applyAlignment="1">
      <alignment horizontal="center" vertical="center" wrapText="1"/>
    </xf>
    <xf numFmtId="0" fontId="107" fillId="0" borderId="41" xfId="12" applyFont="1" applyFill="1" applyBorder="1" applyAlignment="1">
      <alignment horizontal="center" vertical="center" wrapText="1"/>
    </xf>
    <xf numFmtId="0" fontId="145" fillId="0" borderId="37" xfId="12" applyFont="1" applyFill="1" applyBorder="1" applyAlignment="1">
      <alignment horizontal="left" vertical="center" wrapText="1"/>
    </xf>
    <xf numFmtId="0" fontId="145" fillId="0" borderId="41" xfId="12" applyFont="1" applyFill="1" applyBorder="1" applyAlignment="1">
      <alignment horizontal="left" vertical="center" wrapText="1"/>
    </xf>
    <xf numFmtId="0" fontId="105" fillId="0" borderId="36" xfId="0" applyFont="1" applyFill="1" applyBorder="1" applyAlignment="1" applyProtection="1">
      <alignment horizontal="justify" vertical="center" wrapText="1"/>
    </xf>
    <xf numFmtId="0" fontId="91" fillId="0" borderId="76" xfId="0" applyFont="1" applyFill="1" applyBorder="1" applyAlignment="1">
      <alignment horizontal="justify" vertical="center" wrapText="1"/>
    </xf>
    <xf numFmtId="0" fontId="91" fillId="0" borderId="93" xfId="0" applyFont="1" applyFill="1" applyBorder="1" applyAlignment="1">
      <alignment horizontal="justify" vertical="center" wrapText="1"/>
    </xf>
    <xf numFmtId="0" fontId="91" fillId="0" borderId="77" xfId="0" applyFont="1" applyFill="1" applyBorder="1" applyAlignment="1">
      <alignment horizontal="justify" vertical="center" wrapText="1"/>
    </xf>
    <xf numFmtId="0" fontId="91" fillId="0" borderId="75" xfId="0" applyFont="1" applyFill="1" applyBorder="1" applyAlignment="1">
      <alignment horizontal="justify" vertical="center" wrapText="1"/>
    </xf>
    <xf numFmtId="0" fontId="105" fillId="0" borderId="76" xfId="0" applyFont="1" applyFill="1" applyBorder="1" applyAlignment="1" applyProtection="1">
      <alignment horizontal="justify" vertical="center" wrapText="1"/>
    </xf>
    <xf numFmtId="0" fontId="105" fillId="0" borderId="94" xfId="0" applyFont="1" applyFill="1" applyBorder="1" applyAlignment="1" applyProtection="1">
      <alignment horizontal="justify" vertical="center" wrapText="1"/>
    </xf>
    <xf numFmtId="0" fontId="115" fillId="0" borderId="37" xfId="0" applyFont="1" applyFill="1" applyBorder="1" applyAlignment="1" applyProtection="1">
      <alignment horizontal="justify" vertical="center" wrapText="1"/>
    </xf>
    <xf numFmtId="0" fontId="115" fillId="0" borderId="41" xfId="0" applyFont="1" applyFill="1" applyBorder="1" applyAlignment="1" applyProtection="1">
      <alignment horizontal="justify" vertical="center" wrapText="1"/>
    </xf>
    <xf numFmtId="1" fontId="112" fillId="76" borderId="81" xfId="12" applyNumberFormat="1" applyFont="1" applyFill="1" applyBorder="1" applyAlignment="1" applyProtection="1">
      <alignment horizontal="left" vertical="center" wrapText="1"/>
    </xf>
    <xf numFmtId="0" fontId="145" fillId="0" borderId="36" xfId="0" applyFont="1" applyFill="1" applyBorder="1" applyAlignment="1" applyProtection="1">
      <alignment horizontal="left" vertical="center" wrapText="1"/>
    </xf>
    <xf numFmtId="0" fontId="119" fillId="0" borderId="37" xfId="0" applyFont="1" applyFill="1" applyBorder="1" applyAlignment="1" applyProtection="1">
      <alignment horizontal="justify" vertical="center" wrapText="1"/>
      <protection locked="0"/>
    </xf>
    <xf numFmtId="0" fontId="119" fillId="0" borderId="41" xfId="0" applyFont="1" applyFill="1" applyBorder="1" applyAlignment="1" applyProtection="1">
      <alignment horizontal="justify" vertical="center" wrapText="1"/>
      <protection locked="0"/>
    </xf>
    <xf numFmtId="0" fontId="105" fillId="0" borderId="77" xfId="0" applyFont="1" applyFill="1" applyBorder="1" applyAlignment="1" applyProtection="1">
      <alignment horizontal="justify" vertical="center" wrapText="1"/>
    </xf>
    <xf numFmtId="0" fontId="105" fillId="0" borderId="100" xfId="0" applyFont="1" applyFill="1" applyBorder="1" applyAlignment="1" applyProtection="1">
      <alignment horizontal="justify" vertical="center" wrapText="1"/>
    </xf>
    <xf numFmtId="0" fontId="105" fillId="0" borderId="101" xfId="0" applyFont="1" applyFill="1" applyBorder="1" applyAlignment="1" applyProtection="1">
      <alignment horizontal="justify" vertical="center" wrapText="1"/>
    </xf>
    <xf numFmtId="0" fontId="115" fillId="0" borderId="76" xfId="7" applyFont="1" applyFill="1" applyBorder="1" applyAlignment="1" applyProtection="1">
      <alignment horizontal="left" vertical="center" wrapText="1"/>
    </xf>
    <xf numFmtId="0" fontId="115" fillId="0" borderId="77" xfId="7" applyFont="1" applyFill="1" applyBorder="1" applyAlignment="1" applyProtection="1">
      <alignment horizontal="left" vertical="center" wrapText="1"/>
    </xf>
    <xf numFmtId="0" fontId="115" fillId="0" borderId="76" xfId="7" applyFont="1" applyFill="1" applyBorder="1" applyAlignment="1" applyProtection="1">
      <alignment horizontal="justify" vertical="center" wrapText="1"/>
    </xf>
    <xf numFmtId="0" fontId="115" fillId="0" borderId="77" xfId="7" applyFont="1" applyFill="1" applyBorder="1" applyAlignment="1" applyProtection="1">
      <alignment horizontal="justify" vertical="center" wrapText="1"/>
    </xf>
    <xf numFmtId="0" fontId="105" fillId="0" borderId="79" xfId="0" applyFont="1" applyFill="1" applyBorder="1" applyAlignment="1" applyProtection="1">
      <alignment horizontal="justify" vertical="center" wrapText="1"/>
    </xf>
    <xf numFmtId="0" fontId="105" fillId="0" borderId="80" xfId="0" applyFont="1" applyFill="1" applyBorder="1" applyAlignment="1" applyProtection="1">
      <alignment horizontal="justify" vertical="center" wrapText="1"/>
    </xf>
    <xf numFmtId="0" fontId="115" fillId="0" borderId="82" xfId="7" applyFont="1" applyFill="1" applyBorder="1" applyAlignment="1" applyProtection="1">
      <alignment horizontal="justify" vertical="center" wrapText="1"/>
    </xf>
    <xf numFmtId="0" fontId="115" fillId="0" borderId="83" xfId="7" applyFont="1" applyFill="1" applyBorder="1" applyAlignment="1" applyProtection="1">
      <alignment horizontal="justify" vertical="center" wrapText="1"/>
    </xf>
    <xf numFmtId="0" fontId="91" fillId="0" borderId="75" xfId="0" applyFont="1" applyBorder="1" applyAlignment="1">
      <alignment horizontal="justify" vertical="center" wrapText="1"/>
    </xf>
    <xf numFmtId="0" fontId="86" fillId="0" borderId="0" xfId="0" applyFont="1" applyAlignment="1" applyProtection="1">
      <alignment horizontal="center"/>
    </xf>
    <xf numFmtId="1" fontId="112" fillId="73" borderId="81" xfId="12" applyNumberFormat="1" applyFont="1" applyFill="1" applyBorder="1" applyAlignment="1" applyProtection="1">
      <alignment horizontal="left" vertical="center" wrapText="1"/>
    </xf>
    <xf numFmtId="1" fontId="117" fillId="73" borderId="81" xfId="12" applyNumberFormat="1" applyFont="1" applyFill="1" applyBorder="1" applyAlignment="1" applyProtection="1">
      <alignment horizontal="center" vertical="top" wrapText="1"/>
    </xf>
    <xf numFmtId="198" fontId="95" fillId="73" borderId="81" xfId="12" applyNumberFormat="1" applyFont="1" applyFill="1" applyBorder="1" applyAlignment="1" applyProtection="1">
      <alignment horizontal="center" vertical="center" wrapText="1"/>
      <protection locked="0"/>
    </xf>
    <xf numFmtId="0" fontId="95" fillId="70" borderId="69" xfId="0" applyFont="1" applyFill="1" applyBorder="1" applyAlignment="1" applyProtection="1">
      <alignment horizontal="left" vertical="center"/>
    </xf>
    <xf numFmtId="0" fontId="95" fillId="70" borderId="70" xfId="0" applyFont="1" applyFill="1" applyBorder="1" applyAlignment="1" applyProtection="1">
      <alignment horizontal="left" vertical="center"/>
    </xf>
    <xf numFmtId="0" fontId="95" fillId="70" borderId="72" xfId="0" applyFont="1" applyFill="1" applyBorder="1" applyAlignment="1" applyProtection="1">
      <alignment horizontal="left" vertical="center"/>
    </xf>
    <xf numFmtId="0" fontId="95" fillId="70" borderId="73" xfId="0" applyFont="1" applyFill="1" applyBorder="1" applyAlignment="1" applyProtection="1">
      <alignment horizontal="left" vertical="center"/>
    </xf>
    <xf numFmtId="198" fontId="98" fillId="69" borderId="68" xfId="0" applyNumberFormat="1" applyFont="1" applyFill="1" applyBorder="1" applyAlignment="1" applyProtection="1">
      <alignment horizontal="center" vertical="center"/>
      <protection locked="0"/>
    </xf>
    <xf numFmtId="198" fontId="98" fillId="69" borderId="60" xfId="0" applyNumberFormat="1" applyFont="1" applyFill="1" applyBorder="1" applyAlignment="1" applyProtection="1">
      <alignment horizontal="center" vertical="center"/>
      <protection locked="0"/>
    </xf>
    <xf numFmtId="0" fontId="95" fillId="70" borderId="67" xfId="0" applyFont="1" applyFill="1" applyBorder="1" applyAlignment="1" applyProtection="1">
      <alignment horizontal="center" vertical="center" wrapText="1"/>
    </xf>
    <xf numFmtId="0" fontId="95" fillId="70" borderId="59" xfId="0" applyFont="1" applyFill="1" applyBorder="1" applyAlignment="1" applyProtection="1">
      <alignment horizontal="center" vertical="center" wrapText="1"/>
    </xf>
    <xf numFmtId="0" fontId="111" fillId="67" borderId="81" xfId="11" applyFont="1" applyFill="1" applyBorder="1" applyAlignment="1" applyProtection="1">
      <alignment horizontal="center" vertical="center" wrapText="1"/>
    </xf>
    <xf numFmtId="0" fontId="93" fillId="0" borderId="84" xfId="0" applyFont="1" applyFill="1" applyBorder="1" applyAlignment="1" applyProtection="1">
      <alignment horizontal="right" vertical="center" wrapText="1"/>
    </xf>
    <xf numFmtId="0" fontId="93" fillId="0" borderId="85" xfId="0" applyFont="1" applyFill="1" applyBorder="1" applyAlignment="1" applyProtection="1">
      <alignment horizontal="right" vertical="center" wrapText="1"/>
    </xf>
    <xf numFmtId="0" fontId="133" fillId="0" borderId="84" xfId="0" applyFont="1" applyFill="1" applyBorder="1" applyAlignment="1" applyProtection="1">
      <alignment horizontal="justify" vertical="center" wrapText="1"/>
    </xf>
    <xf numFmtId="0" fontId="133" fillId="0" borderId="85" xfId="0" applyFont="1" applyFill="1" applyBorder="1" applyAlignment="1" applyProtection="1">
      <alignment horizontal="justify" vertical="center" wrapText="1"/>
    </xf>
    <xf numFmtId="0" fontId="123" fillId="67" borderId="81" xfId="11" applyFont="1" applyFill="1" applyBorder="1" applyAlignment="1" applyProtection="1">
      <alignment horizontal="left" vertical="center"/>
    </xf>
    <xf numFmtId="0" fontId="129" fillId="0" borderId="0" xfId="0" applyFont="1" applyBorder="1" applyAlignment="1" applyProtection="1">
      <alignment horizontal="left" vertical="center"/>
    </xf>
    <xf numFmtId="0" fontId="87" fillId="0" borderId="0" xfId="0" applyFont="1" applyBorder="1" applyAlignment="1" applyProtection="1">
      <alignment horizontal="center" vertical="center"/>
    </xf>
    <xf numFmtId="0" fontId="105" fillId="0" borderId="86" xfId="0" applyFont="1" applyFill="1" applyBorder="1" applyAlignment="1" applyProtection="1">
      <alignment horizontal="justify" vertical="center" wrapText="1"/>
    </xf>
    <xf numFmtId="0" fontId="105" fillId="0" borderId="87" xfId="0" applyFont="1" applyFill="1" applyBorder="1" applyAlignment="1" applyProtection="1">
      <alignment horizontal="justify" vertical="center" wrapText="1"/>
    </xf>
    <xf numFmtId="0" fontId="105" fillId="0" borderId="88" xfId="0" applyFont="1" applyFill="1" applyBorder="1" applyAlignment="1" applyProtection="1">
      <alignment horizontal="justify" vertical="center" wrapText="1"/>
    </xf>
    <xf numFmtId="0" fontId="105" fillId="0" borderId="89" xfId="0" applyFont="1" applyFill="1" applyBorder="1" applyAlignment="1" applyProtection="1">
      <alignment horizontal="justify" vertical="center" wrapText="1"/>
    </xf>
    <xf numFmtId="0" fontId="105" fillId="0" borderId="90" xfId="0" applyFont="1" applyFill="1" applyBorder="1" applyAlignment="1" applyProtection="1">
      <alignment horizontal="justify" vertical="center" wrapText="1"/>
    </xf>
    <xf numFmtId="0" fontId="105" fillId="0" borderId="91" xfId="0" applyFont="1" applyFill="1" applyBorder="1" applyAlignment="1" applyProtection="1">
      <alignment horizontal="justify" vertical="center" wrapText="1"/>
    </xf>
    <xf numFmtId="0" fontId="105" fillId="0" borderId="82" xfId="0" applyFont="1" applyBorder="1" applyAlignment="1" applyProtection="1">
      <alignment horizontal="justify" vertical="center" wrapText="1"/>
    </xf>
    <xf numFmtId="0" fontId="105" fillId="0" borderId="83" xfId="0" applyFont="1" applyBorder="1" applyAlignment="1" applyProtection="1">
      <alignment horizontal="justify" vertical="center" wrapText="1"/>
    </xf>
    <xf numFmtId="0" fontId="141" fillId="0" borderId="61" xfId="814" applyFont="1" applyFill="1" applyBorder="1" applyAlignment="1" applyProtection="1">
      <alignment horizontal="center" vertical="center" wrapText="1"/>
    </xf>
    <xf numFmtId="0" fontId="141" fillId="0" borderId="66" xfId="814" applyFont="1" applyFill="1" applyBorder="1" applyAlignment="1" applyProtection="1">
      <alignment horizontal="center" vertical="center" wrapText="1"/>
    </xf>
    <xf numFmtId="0" fontId="112" fillId="0" borderId="0" xfId="814" applyFont="1" applyFill="1" applyBorder="1" applyAlignment="1" applyProtection="1">
      <alignment horizontal="center" vertical="center" wrapText="1"/>
    </xf>
    <xf numFmtId="0" fontId="89" fillId="0" borderId="42" xfId="0" applyFont="1" applyBorder="1" applyAlignment="1" applyProtection="1">
      <alignment horizontal="left" vertical="center"/>
    </xf>
    <xf numFmtId="0" fontId="89" fillId="0" borderId="0" xfId="0" applyFont="1" applyBorder="1" applyAlignment="1" applyProtection="1">
      <alignment horizontal="left" vertical="center"/>
    </xf>
    <xf numFmtId="0" fontId="89" fillId="0" borderId="65" xfId="0" applyFont="1" applyBorder="1" applyAlignment="1" applyProtection="1">
      <alignment horizontal="left" vertical="center"/>
    </xf>
    <xf numFmtId="0" fontId="89" fillId="0" borderId="38" xfId="0" applyFont="1" applyBorder="1" applyAlignment="1" applyProtection="1">
      <alignment horizontal="left" vertical="center"/>
    </xf>
    <xf numFmtId="0" fontId="89" fillId="0" borderId="39" xfId="0" applyFont="1" applyBorder="1" applyAlignment="1" applyProtection="1">
      <alignment horizontal="left" vertical="center"/>
    </xf>
    <xf numFmtId="0" fontId="89" fillId="0" borderId="40" xfId="0" applyFont="1" applyBorder="1" applyAlignment="1" applyProtection="1">
      <alignment horizontal="left" vertical="center"/>
    </xf>
    <xf numFmtId="4" fontId="128" fillId="0" borderId="38" xfId="0" applyNumberFormat="1" applyFont="1" applyFill="1" applyBorder="1" applyAlignment="1" applyProtection="1">
      <alignment horizontal="center" vertical="center" wrapText="1"/>
    </xf>
    <xf numFmtId="4" fontId="128" fillId="0" borderId="54" xfId="0" applyNumberFormat="1" applyFont="1" applyFill="1" applyBorder="1" applyAlignment="1" applyProtection="1">
      <alignment horizontal="center" vertical="center" wrapText="1"/>
    </xf>
    <xf numFmtId="0" fontId="99" fillId="0" borderId="58" xfId="0" applyFont="1" applyBorder="1" applyAlignment="1" applyProtection="1">
      <alignment horizontal="right" wrapText="1"/>
    </xf>
    <xf numFmtId="0" fontId="99" fillId="0" borderId="44" xfId="0" applyFont="1" applyBorder="1" applyAlignment="1" applyProtection="1">
      <alignment horizontal="right" vertical="center" wrapText="1"/>
    </xf>
    <xf numFmtId="0" fontId="99" fillId="0" borderId="43" xfId="0" applyFont="1" applyBorder="1" applyAlignment="1" applyProtection="1">
      <alignment horizontal="right" vertical="center" wrapText="1"/>
    </xf>
    <xf numFmtId="0" fontId="99" fillId="0" borderId="45" xfId="0" applyFont="1" applyBorder="1" applyAlignment="1" applyProtection="1">
      <alignment horizontal="right" vertical="center" wrapText="1"/>
    </xf>
    <xf numFmtId="0" fontId="93" fillId="0" borderId="92" xfId="0" applyFont="1" applyFill="1" applyBorder="1" applyAlignment="1" applyProtection="1">
      <alignment horizontal="right" vertical="center" wrapText="1"/>
    </xf>
    <xf numFmtId="0" fontId="88" fillId="0" borderId="63" xfId="0" applyFont="1" applyBorder="1" applyAlignment="1">
      <alignment horizontal="right" vertical="center"/>
    </xf>
    <xf numFmtId="0" fontId="88" fillId="0" borderId="64" xfId="0" applyFont="1" applyBorder="1" applyAlignment="1">
      <alignment horizontal="right" vertical="center"/>
    </xf>
    <xf numFmtId="4" fontId="109" fillId="70" borderId="37" xfId="0" applyNumberFormat="1" applyFont="1" applyFill="1" applyBorder="1" applyAlignment="1" applyProtection="1">
      <alignment horizontal="left" vertical="center"/>
    </xf>
    <xf numFmtId="4" fontId="109" fillId="70" borderId="56" xfId="0" applyNumberFormat="1" applyFont="1" applyFill="1" applyBorder="1" applyAlignment="1" applyProtection="1">
      <alignment horizontal="left" vertical="center"/>
    </xf>
    <xf numFmtId="4" fontId="109" fillId="70" borderId="41" xfId="0" applyNumberFormat="1" applyFont="1" applyFill="1" applyBorder="1" applyAlignment="1" applyProtection="1">
      <alignment horizontal="left" vertical="center"/>
    </xf>
    <xf numFmtId="4" fontId="119" fillId="0" borderId="37" xfId="0" applyNumberFormat="1" applyFont="1" applyFill="1" applyBorder="1" applyAlignment="1" applyProtection="1">
      <alignment horizontal="left" vertical="center" wrapText="1"/>
    </xf>
    <xf numFmtId="4" fontId="119" fillId="0" borderId="41" xfId="0" applyNumberFormat="1" applyFont="1" applyFill="1" applyBorder="1" applyAlignment="1" applyProtection="1">
      <alignment horizontal="left" vertical="center" wrapText="1"/>
    </xf>
    <xf numFmtId="0" fontId="105" fillId="0" borderId="57" xfId="0" applyFont="1" applyFill="1" applyBorder="1" applyAlignment="1" applyProtection="1">
      <alignment horizontal="justify" vertical="center" wrapText="1"/>
    </xf>
    <xf numFmtId="0" fontId="105" fillId="0" borderId="53" xfId="0" applyFont="1" applyFill="1" applyBorder="1" applyAlignment="1" applyProtection="1">
      <alignment horizontal="justify" vertical="center" wrapText="1"/>
    </xf>
    <xf numFmtId="0" fontId="105" fillId="0" borderId="76" xfId="0" applyFont="1" applyFill="1" applyBorder="1" applyAlignment="1" applyProtection="1">
      <alignment horizontal="center" vertical="center" wrapText="1"/>
    </xf>
    <xf numFmtId="0" fontId="105" fillId="0" borderId="77" xfId="0" applyFont="1" applyFill="1" applyBorder="1" applyAlignment="1" applyProtection="1">
      <alignment horizontal="center" vertical="center" wrapText="1"/>
    </xf>
    <xf numFmtId="0" fontId="119" fillId="0" borderId="36" xfId="0" applyFont="1" applyFill="1" applyBorder="1" applyAlignment="1" applyProtection="1">
      <alignment horizontal="justify" vertical="center" wrapText="1"/>
      <protection locked="0"/>
    </xf>
    <xf numFmtId="0" fontId="133" fillId="0" borderId="92" xfId="0" applyFont="1" applyFill="1" applyBorder="1" applyAlignment="1" applyProtection="1">
      <alignment horizontal="justify" vertical="center" wrapText="1"/>
    </xf>
    <xf numFmtId="0" fontId="101" fillId="0" borderId="96" xfId="0" applyFont="1" applyFill="1" applyBorder="1" applyAlignment="1" applyProtection="1">
      <alignment horizontal="left" vertical="center" wrapText="1"/>
    </xf>
    <xf numFmtId="0" fontId="105" fillId="0" borderId="90" xfId="0" applyFont="1" applyBorder="1" applyAlignment="1" applyProtection="1">
      <alignment horizontal="left" vertical="center" wrapText="1"/>
    </xf>
    <xf numFmtId="0" fontId="105" fillId="0" borderId="91" xfId="0" applyFont="1" applyBorder="1" applyAlignment="1" applyProtection="1">
      <alignment horizontal="left" vertical="center" wrapText="1"/>
    </xf>
    <xf numFmtId="0" fontId="8" fillId="0" borderId="46" xfId="0" applyFont="1" applyFill="1" applyBorder="1" applyAlignment="1" applyProtection="1">
      <alignment horizontal="center" vertical="center"/>
    </xf>
    <xf numFmtId="0" fontId="8" fillId="0" borderId="57" xfId="0" applyFont="1" applyFill="1" applyBorder="1" applyAlignment="1" applyProtection="1">
      <alignment horizontal="center" vertical="center"/>
    </xf>
    <xf numFmtId="0" fontId="95" fillId="71" borderId="86" xfId="0" applyFont="1" applyFill="1" applyBorder="1" applyAlignment="1" applyProtection="1">
      <alignment horizontal="left" vertical="center" wrapText="1"/>
    </xf>
    <xf numFmtId="0" fontId="95" fillId="71" borderId="98" xfId="0" applyFont="1" applyFill="1" applyBorder="1" applyAlignment="1" applyProtection="1">
      <alignment horizontal="left" vertical="center" wrapText="1"/>
    </xf>
    <xf numFmtId="0" fontId="95" fillId="71" borderId="87" xfId="0" applyFont="1" applyFill="1" applyBorder="1" applyAlignment="1" applyProtection="1">
      <alignment horizontal="left" vertical="center" wrapText="1"/>
    </xf>
    <xf numFmtId="0" fontId="95" fillId="71" borderId="90" xfId="0" applyFont="1" applyFill="1" applyBorder="1" applyAlignment="1" applyProtection="1">
      <alignment horizontal="left" vertical="center" wrapText="1"/>
    </xf>
    <xf numFmtId="0" fontId="95" fillId="71" borderId="99" xfId="0" applyFont="1" applyFill="1" applyBorder="1" applyAlignment="1" applyProtection="1">
      <alignment horizontal="left" vertical="center" wrapText="1"/>
    </xf>
    <xf numFmtId="0" fontId="95" fillId="71" borderId="91" xfId="0" applyFont="1" applyFill="1" applyBorder="1" applyAlignment="1" applyProtection="1">
      <alignment horizontal="left" vertical="center" wrapText="1"/>
    </xf>
    <xf numFmtId="198" fontId="114" fillId="71" borderId="93" xfId="0" applyNumberFormat="1" applyFont="1" applyFill="1" applyBorder="1" applyAlignment="1" applyProtection="1">
      <alignment horizontal="center" vertical="center" wrapText="1"/>
      <protection locked="0"/>
    </xf>
    <xf numFmtId="198" fontId="114" fillId="71" borderId="77" xfId="0" applyNumberFormat="1" applyFont="1" applyFill="1" applyBorder="1" applyAlignment="1" applyProtection="1">
      <alignment horizontal="center" vertical="center" wrapText="1"/>
      <protection locked="0"/>
    </xf>
    <xf numFmtId="0" fontId="97" fillId="71" borderId="93" xfId="0" applyFont="1" applyFill="1" applyBorder="1" applyAlignment="1" applyProtection="1">
      <alignment horizontal="center" vertical="center" wrapText="1"/>
    </xf>
    <xf numFmtId="0" fontId="97" fillId="71" borderId="77" xfId="0" applyFont="1" applyFill="1" applyBorder="1" applyAlignment="1" applyProtection="1">
      <alignment horizontal="center" vertical="center" wrapText="1"/>
    </xf>
    <xf numFmtId="0" fontId="115" fillId="2" borderId="36" xfId="0" applyFont="1" applyFill="1" applyBorder="1" applyAlignment="1" applyProtection="1">
      <alignment horizontal="justify" vertical="center" wrapText="1"/>
    </xf>
    <xf numFmtId="0" fontId="115" fillId="2" borderId="36" xfId="7" applyFont="1" applyFill="1" applyBorder="1" applyAlignment="1" applyProtection="1">
      <alignment horizontal="justify" vertical="center" wrapText="1"/>
    </xf>
    <xf numFmtId="0" fontId="86" fillId="0" borderId="53" xfId="0" applyFont="1" applyFill="1" applyBorder="1" applyAlignment="1">
      <alignment horizontal="center"/>
    </xf>
    <xf numFmtId="0" fontId="86" fillId="0" borderId="55" xfId="0" applyFont="1" applyFill="1" applyBorder="1" applyAlignment="1">
      <alignment horizontal="center"/>
    </xf>
    <xf numFmtId="0" fontId="85" fillId="70" borderId="47" xfId="0" applyFont="1" applyFill="1" applyBorder="1" applyAlignment="1" applyProtection="1">
      <alignment horizontal="right" textRotation="90"/>
    </xf>
    <xf numFmtId="0" fontId="85" fillId="70" borderId="42" xfId="0" applyFont="1" applyFill="1" applyBorder="1" applyAlignment="1" applyProtection="1">
      <alignment horizontal="right" textRotation="90"/>
    </xf>
    <xf numFmtId="0" fontId="127" fillId="0" borderId="70" xfId="0" applyFont="1" applyFill="1" applyBorder="1" applyAlignment="1" applyProtection="1">
      <alignment horizontal="left" vertical="center"/>
    </xf>
    <xf numFmtId="0" fontId="109" fillId="70" borderId="79" xfId="0" applyFont="1" applyFill="1" applyBorder="1" applyAlignment="1" applyProtection="1">
      <alignment horizontal="left" vertical="center"/>
    </xf>
    <xf numFmtId="0" fontId="109" fillId="70" borderId="95" xfId="0" applyFont="1" applyFill="1" applyBorder="1" applyAlignment="1" applyProtection="1">
      <alignment horizontal="left" vertical="center"/>
    </xf>
    <xf numFmtId="0" fontId="109" fillId="70" borderId="80" xfId="0" applyFont="1" applyFill="1" applyBorder="1" applyAlignment="1" applyProtection="1">
      <alignment horizontal="left" vertical="center"/>
    </xf>
    <xf numFmtId="4" fontId="128" fillId="0" borderId="75" xfId="1" applyNumberFormat="1" applyFont="1" applyFill="1" applyBorder="1" applyAlignment="1" applyProtection="1">
      <alignment horizontal="center" vertical="center" wrapText="1"/>
    </xf>
    <xf numFmtId="0" fontId="103" fillId="0" borderId="36" xfId="11" applyFont="1" applyFill="1" applyBorder="1" applyAlignment="1" applyProtection="1">
      <alignment horizontal="center" vertical="center" wrapText="1"/>
    </xf>
    <xf numFmtId="0" fontId="103" fillId="0" borderId="46" xfId="11" applyFont="1" applyFill="1" applyBorder="1" applyAlignment="1" applyProtection="1">
      <alignment horizontal="center" vertical="center" wrapText="1"/>
    </xf>
    <xf numFmtId="0" fontId="91" fillId="0" borderId="36" xfId="0" applyFont="1" applyFill="1" applyBorder="1" applyAlignment="1" applyProtection="1">
      <alignment horizontal="justify" vertical="center"/>
    </xf>
    <xf numFmtId="0" fontId="91" fillId="0" borderId="46" xfId="0" applyFont="1" applyFill="1" applyBorder="1" applyAlignment="1" applyProtection="1">
      <alignment horizontal="justify" vertical="center"/>
    </xf>
    <xf numFmtId="0" fontId="91" fillId="0" borderId="36" xfId="0" applyFont="1" applyFill="1" applyBorder="1" applyAlignment="1" applyProtection="1">
      <alignment horizontal="center" vertical="center" wrapText="1"/>
    </xf>
    <xf numFmtId="0" fontId="91" fillId="0" borderId="46" xfId="0" applyFont="1" applyFill="1" applyBorder="1" applyAlignment="1" applyProtection="1">
      <alignment horizontal="center" vertical="center" wrapText="1"/>
    </xf>
    <xf numFmtId="0" fontId="91" fillId="0" borderId="36" xfId="0" applyFont="1" applyFill="1" applyBorder="1" applyAlignment="1" applyProtection="1">
      <alignment horizontal="center" vertical="center"/>
    </xf>
    <xf numFmtId="0" fontId="91" fillId="0" borderId="46" xfId="0" applyFont="1" applyFill="1" applyBorder="1" applyAlignment="1" applyProtection="1">
      <alignment horizontal="center" vertical="center"/>
    </xf>
    <xf numFmtId="4" fontId="119" fillId="0" borderId="36" xfId="0" applyNumberFormat="1" applyFont="1" applyFill="1" applyBorder="1" applyAlignment="1" applyProtection="1">
      <alignment horizontal="center" vertical="center" wrapText="1"/>
    </xf>
    <xf numFmtId="4" fontId="119" fillId="0" borderId="37" xfId="0" applyNumberFormat="1" applyFont="1" applyFill="1" applyBorder="1" applyAlignment="1" applyProtection="1">
      <alignment horizontal="center" vertical="center" wrapText="1"/>
    </xf>
    <xf numFmtId="4" fontId="92" fillId="0" borderId="46" xfId="3229" applyNumberFormat="1" applyFont="1" applyFill="1" applyBorder="1" applyAlignment="1" applyProtection="1">
      <alignment horizontal="center" vertical="center"/>
    </xf>
    <xf numFmtId="0" fontId="105" fillId="0" borderId="37" xfId="0" applyFont="1" applyFill="1" applyBorder="1" applyAlignment="1" applyProtection="1">
      <alignment horizontal="justify" vertical="center" wrapText="1"/>
    </xf>
    <xf numFmtId="0" fontId="105" fillId="0" borderId="41" xfId="0" applyFont="1" applyFill="1" applyBorder="1" applyAlignment="1" applyProtection="1">
      <alignment horizontal="justify" vertical="center" wrapText="1"/>
    </xf>
    <xf numFmtId="0" fontId="105" fillId="2" borderId="36" xfId="0" applyFont="1" applyFill="1" applyBorder="1" applyAlignment="1" applyProtection="1">
      <alignment horizontal="justify" vertical="center" wrapText="1"/>
    </xf>
    <xf numFmtId="0" fontId="115" fillId="0" borderId="36" xfId="0" applyFont="1" applyBorder="1" applyAlignment="1" applyProtection="1">
      <alignment horizontal="justify" vertical="center" wrapText="1"/>
    </xf>
    <xf numFmtId="0" fontId="115" fillId="0" borderId="82" xfId="7" applyFont="1" applyBorder="1" applyAlignment="1" applyProtection="1">
      <alignment horizontal="justify" vertical="center" wrapText="1"/>
    </xf>
    <xf numFmtId="0" fontId="115" fillId="0" borderId="83" xfId="7" applyFont="1" applyBorder="1" applyAlignment="1" applyProtection="1">
      <alignment horizontal="justify" vertical="center" wrapText="1"/>
    </xf>
    <xf numFmtId="0" fontId="115" fillId="0" borderId="82" xfId="7" applyFont="1" applyBorder="1" applyAlignment="1" applyProtection="1">
      <alignment horizontal="left" vertical="center" wrapText="1"/>
    </xf>
    <xf numFmtId="0" fontId="115" fillId="0" borderId="83" xfId="7" applyFont="1" applyBorder="1" applyAlignment="1" applyProtection="1">
      <alignment horizontal="left" vertical="center" wrapText="1"/>
    </xf>
    <xf numFmtId="1" fontId="81" fillId="0" borderId="46" xfId="12" applyNumberFormat="1" applyFont="1" applyFill="1" applyBorder="1" applyAlignment="1" applyProtection="1">
      <alignment horizontal="center" vertical="center" wrapText="1"/>
    </xf>
    <xf numFmtId="1" fontId="81" fillId="0" borderId="57" xfId="12" applyNumberFormat="1" applyFont="1" applyFill="1" applyBorder="1" applyAlignment="1" applyProtection="1">
      <alignment horizontal="center" vertical="center" wrapText="1"/>
    </xf>
    <xf numFmtId="1" fontId="112" fillId="71" borderId="47" xfId="11" applyNumberFormat="1" applyFont="1" applyFill="1" applyBorder="1" applyAlignment="1" applyProtection="1">
      <alignment horizontal="center" vertical="center"/>
    </xf>
    <xf numFmtId="1" fontId="112" fillId="71" borderId="48" xfId="11" applyNumberFormat="1" applyFont="1" applyFill="1" applyBorder="1" applyAlignment="1" applyProtection="1">
      <alignment horizontal="center" vertical="center"/>
    </xf>
    <xf numFmtId="0" fontId="115" fillId="0" borderId="36" xfId="7" applyFont="1" applyBorder="1" applyAlignment="1" applyProtection="1">
      <alignment horizontal="justify" vertical="center" wrapText="1"/>
    </xf>
    <xf numFmtId="0" fontId="115" fillId="0" borderId="46" xfId="7" applyFont="1" applyBorder="1" applyAlignment="1" applyProtection="1">
      <alignment horizontal="justify" vertical="center" wrapText="1"/>
    </xf>
    <xf numFmtId="0" fontId="115" fillId="0" borderId="48" xfId="0" applyFont="1" applyFill="1" applyBorder="1" applyAlignment="1" applyProtection="1">
      <alignment horizontal="justify" vertical="center" wrapText="1"/>
    </xf>
    <xf numFmtId="0" fontId="103" fillId="0" borderId="35" xfId="0" applyFont="1" applyFill="1" applyBorder="1" applyAlignment="1" applyProtection="1">
      <alignment horizontal="center" vertical="center" wrapText="1"/>
    </xf>
    <xf numFmtId="0" fontId="103" fillId="0" borderId="32" xfId="0" applyFont="1" applyFill="1" applyBorder="1" applyAlignment="1" applyProtection="1">
      <alignment horizontal="center" vertical="center" wrapText="1"/>
    </xf>
    <xf numFmtId="0" fontId="91" fillId="0" borderId="52" xfId="0" applyFont="1" applyFill="1" applyBorder="1" applyAlignment="1" applyProtection="1">
      <alignment horizontal="left" vertical="top" wrapText="1"/>
    </xf>
    <xf numFmtId="0" fontId="91" fillId="0" borderId="49" xfId="0" applyFont="1" applyFill="1" applyBorder="1" applyAlignment="1" applyProtection="1">
      <alignment horizontal="left" vertical="top" wrapText="1"/>
    </xf>
    <xf numFmtId="0" fontId="91" fillId="0" borderId="50" xfId="0" applyFont="1" applyFill="1" applyBorder="1" applyAlignment="1" applyProtection="1">
      <alignment horizontal="left" vertical="top" wrapText="1"/>
    </xf>
    <xf numFmtId="0" fontId="91" fillId="0" borderId="44" xfId="0" applyFont="1" applyFill="1" applyBorder="1" applyAlignment="1" applyProtection="1">
      <alignment horizontal="left"/>
    </xf>
    <xf numFmtId="0" fontId="91" fillId="0" borderId="43" xfId="0" applyFont="1" applyFill="1" applyBorder="1" applyAlignment="1" applyProtection="1">
      <alignment horizontal="left"/>
    </xf>
    <xf numFmtId="0" fontId="91" fillId="0" borderId="51" xfId="0" applyFont="1" applyFill="1" applyBorder="1" applyAlignment="1" applyProtection="1">
      <alignment horizontal="left"/>
    </xf>
    <xf numFmtId="0" fontId="91" fillId="0" borderId="62" xfId="0" applyFont="1" applyFill="1" applyBorder="1" applyAlignment="1" applyProtection="1">
      <alignment horizontal="left"/>
    </xf>
    <xf numFmtId="0" fontId="91" fillId="0" borderId="63" xfId="0" applyFont="1" applyFill="1" applyBorder="1" applyAlignment="1" applyProtection="1">
      <alignment horizontal="left"/>
    </xf>
    <xf numFmtId="0" fontId="91" fillId="0" borderId="97" xfId="0" applyFont="1" applyFill="1" applyBorder="1" applyAlignment="1" applyProtection="1">
      <alignment horizontal="left"/>
    </xf>
    <xf numFmtId="0" fontId="115" fillId="0" borderId="36" xfId="0" applyFont="1" applyFill="1" applyBorder="1" applyAlignment="1" applyProtection="1">
      <alignment horizontal="left" vertical="center" wrapText="1"/>
    </xf>
    <xf numFmtId="0" fontId="115" fillId="0" borderId="36" xfId="0" applyFont="1" applyFill="1" applyBorder="1" applyAlignment="1" applyProtection="1">
      <alignment horizontal="justify" vertical="center" wrapText="1"/>
    </xf>
    <xf numFmtId="0" fontId="115" fillId="0" borderId="37" xfId="0" applyFont="1" applyFill="1" applyBorder="1" applyAlignment="1" applyProtection="1">
      <alignment horizontal="center" vertical="center" wrapText="1"/>
    </xf>
    <xf numFmtId="0" fontId="115" fillId="0" borderId="41" xfId="0" applyFont="1" applyFill="1" applyBorder="1" applyAlignment="1" applyProtection="1">
      <alignment horizontal="center" vertical="center" wrapText="1"/>
    </xf>
    <xf numFmtId="0" fontId="119" fillId="0" borderId="36" xfId="0" applyFont="1" applyFill="1" applyBorder="1" applyAlignment="1" applyProtection="1">
      <alignment horizontal="justify" vertical="center" wrapText="1"/>
    </xf>
    <xf numFmtId="0" fontId="103" fillId="68" borderId="28" xfId="7" applyFont="1" applyFill="1" applyBorder="1" applyAlignment="1" applyProtection="1">
      <alignment horizontal="justify" vertical="top" wrapText="1"/>
    </xf>
    <xf numFmtId="0" fontId="103" fillId="0" borderId="28" xfId="0" applyFont="1" applyFill="1" applyBorder="1" applyAlignment="1" applyProtection="1">
      <alignment horizontal="justify" vertical="top" wrapText="1"/>
    </xf>
    <xf numFmtId="0" fontId="103" fillId="68" borderId="29" xfId="0" applyFont="1" applyFill="1" applyBorder="1" applyAlignment="1" applyProtection="1">
      <alignment horizontal="left" vertical="center" wrapText="1"/>
    </xf>
    <xf numFmtId="0" fontId="103" fillId="68" borderId="30" xfId="0" applyFont="1" applyFill="1" applyBorder="1" applyAlignment="1" applyProtection="1">
      <alignment horizontal="left" vertical="center" wrapText="1"/>
    </xf>
    <xf numFmtId="0" fontId="103" fillId="68" borderId="31" xfId="0" applyFont="1" applyFill="1" applyBorder="1" applyAlignment="1" applyProtection="1">
      <alignment horizontal="left" vertical="center" wrapText="1"/>
    </xf>
    <xf numFmtId="0" fontId="91" fillId="68" borderId="33" xfId="0" applyFont="1" applyFill="1" applyBorder="1" applyAlignment="1" applyProtection="1">
      <alignment horizontal="justify" wrapText="1"/>
    </xf>
    <xf numFmtId="0" fontId="91" fillId="68" borderId="34" xfId="0" applyFont="1" applyFill="1" applyBorder="1" applyAlignment="1" applyProtection="1">
      <alignment horizontal="justify" wrapText="1"/>
    </xf>
    <xf numFmtId="0" fontId="121" fillId="0" borderId="0" xfId="7" applyFont="1" applyAlignment="1" applyProtection="1">
      <alignment horizontal="left"/>
    </xf>
    <xf numFmtId="0" fontId="103" fillId="0" borderId="29" xfId="7" applyFont="1" applyBorder="1" applyAlignment="1" applyProtection="1">
      <alignment horizontal="left" vertical="top" wrapText="1"/>
    </xf>
    <xf numFmtId="0" fontId="103" fillId="0" borderId="30" xfId="7" applyFont="1" applyBorder="1" applyAlignment="1" applyProtection="1">
      <alignment horizontal="left" vertical="top" wrapText="1"/>
    </xf>
    <xf numFmtId="0" fontId="103" fillId="0" borderId="31" xfId="7" applyFont="1" applyBorder="1" applyAlignment="1" applyProtection="1">
      <alignment horizontal="left" vertical="top" wrapText="1"/>
    </xf>
    <xf numFmtId="0" fontId="103" fillId="68" borderId="29" xfId="7" applyFont="1" applyFill="1" applyBorder="1" applyAlignment="1" applyProtection="1">
      <alignment horizontal="justify" vertical="center" wrapText="1"/>
    </xf>
    <xf numFmtId="0" fontId="103" fillId="68" borderId="30" xfId="7" applyFont="1" applyFill="1" applyBorder="1" applyAlignment="1" applyProtection="1">
      <alignment horizontal="justify" vertical="center" wrapText="1"/>
    </xf>
    <xf numFmtId="0" fontId="103" fillId="68" borderId="31" xfId="7" applyFont="1" applyFill="1" applyBorder="1" applyAlignment="1" applyProtection="1">
      <alignment horizontal="justify" vertical="center" wrapText="1"/>
    </xf>
    <xf numFmtId="0" fontId="104" fillId="68" borderId="28" xfId="7" applyFont="1" applyFill="1" applyBorder="1" applyAlignment="1" applyProtection="1">
      <alignment horizontal="justify" vertical="top" wrapText="1"/>
    </xf>
    <xf numFmtId="0" fontId="103" fillId="0" borderId="28" xfId="7" applyFont="1" applyBorder="1" applyAlignment="1" applyProtection="1">
      <alignment horizontal="justify" vertical="top" wrapText="1"/>
    </xf>
    <xf numFmtId="0" fontId="119" fillId="0" borderId="37" xfId="0" applyFont="1" applyFill="1" applyBorder="1" applyAlignment="1" applyProtection="1">
      <alignment horizontal="justify" vertical="center" wrapText="1"/>
    </xf>
    <xf numFmtId="0" fontId="119" fillId="0" borderId="41" xfId="0" applyFont="1" applyFill="1" applyBorder="1" applyAlignment="1" applyProtection="1">
      <alignment horizontal="justify" vertical="center" wrapText="1"/>
    </xf>
    <xf numFmtId="4" fontId="119" fillId="0" borderId="37" xfId="1" applyNumberFormat="1" applyFont="1" applyFill="1" applyBorder="1" applyAlignment="1" applyProtection="1">
      <alignment horizontal="left" vertical="center"/>
    </xf>
    <xf numFmtId="4" fontId="119" fillId="0" borderId="41" xfId="1" applyNumberFormat="1" applyFont="1" applyFill="1" applyBorder="1" applyAlignment="1" applyProtection="1">
      <alignment horizontal="left" vertical="center"/>
    </xf>
    <xf numFmtId="4" fontId="117" fillId="76" borderId="81" xfId="1" applyNumberFormat="1" applyFont="1" applyFill="1" applyBorder="1" applyAlignment="1" applyProtection="1">
      <alignment horizontal="center" vertical="center"/>
    </xf>
    <xf numFmtId="0" fontId="105" fillId="0" borderId="76" xfId="7" applyFont="1" applyFill="1" applyBorder="1" applyAlignment="1" applyProtection="1">
      <alignment horizontal="justify" vertical="center" wrapText="1"/>
    </xf>
    <xf numFmtId="0" fontId="105" fillId="0" borderId="77" xfId="7" applyFont="1" applyFill="1" applyBorder="1" applyAlignment="1" applyProtection="1">
      <alignment horizontal="justify" vertical="center" wrapText="1"/>
    </xf>
    <xf numFmtId="0" fontId="115" fillId="0" borderId="37" xfId="12" applyFont="1" applyFill="1" applyBorder="1" applyAlignment="1">
      <alignment horizontal="justify" vertical="center" wrapText="1"/>
    </xf>
    <xf numFmtId="0" fontId="115" fillId="0" borderId="41" xfId="12" applyFont="1" applyFill="1" applyBorder="1" applyAlignment="1">
      <alignment horizontal="justify" vertical="center" wrapText="1"/>
    </xf>
    <xf numFmtId="0" fontId="115" fillId="0" borderId="36" xfId="12" applyFont="1" applyFill="1" applyBorder="1" applyAlignment="1">
      <alignment horizontal="justify" vertical="center" wrapText="1"/>
    </xf>
    <xf numFmtId="0" fontId="115" fillId="0" borderId="36" xfId="12" applyFont="1" applyFill="1" applyBorder="1" applyAlignment="1">
      <alignment horizontal="left" vertical="center" wrapText="1"/>
    </xf>
    <xf numFmtId="0" fontId="95" fillId="72" borderId="81" xfId="0" applyFont="1" applyFill="1" applyBorder="1" applyAlignment="1" applyProtection="1">
      <alignment horizontal="left" vertical="center" wrapText="1"/>
    </xf>
    <xf numFmtId="0" fontId="90" fillId="0" borderId="28" xfId="7" applyFont="1" applyBorder="1" applyAlignment="1" applyProtection="1">
      <alignment horizontal="left" vertical="center" wrapText="1"/>
    </xf>
    <xf numFmtId="1" fontId="112" fillId="73" borderId="47" xfId="11" applyNumberFormat="1" applyFont="1" applyFill="1" applyBorder="1" applyAlignment="1" applyProtection="1">
      <alignment horizontal="center" vertical="center"/>
    </xf>
    <xf numFmtId="1" fontId="112" fillId="73" borderId="48" xfId="11" applyNumberFormat="1" applyFont="1" applyFill="1" applyBorder="1" applyAlignment="1" applyProtection="1">
      <alignment horizontal="center" vertical="center"/>
    </xf>
    <xf numFmtId="1" fontId="91" fillId="0" borderId="46" xfId="12" applyNumberFormat="1" applyFont="1" applyFill="1" applyBorder="1" applyAlignment="1" applyProtection="1">
      <alignment horizontal="center" vertical="center" wrapText="1"/>
    </xf>
    <xf numFmtId="1" fontId="91" fillId="0" borderId="57" xfId="12" applyNumberFormat="1" applyFont="1" applyFill="1" applyBorder="1" applyAlignment="1" applyProtection="1">
      <alignment horizontal="center" vertical="center" wrapText="1"/>
    </xf>
    <xf numFmtId="198" fontId="116" fillId="72" borderId="81" xfId="0" applyNumberFormat="1" applyFont="1" applyFill="1" applyBorder="1" applyAlignment="1" applyProtection="1">
      <alignment horizontal="center" vertical="center" wrapText="1"/>
      <protection locked="0"/>
    </xf>
    <xf numFmtId="0" fontId="97" fillId="72" borderId="81" xfId="0" applyFont="1" applyFill="1" applyBorder="1" applyAlignment="1" applyProtection="1">
      <alignment horizontal="center" vertical="center" wrapText="1"/>
    </xf>
    <xf numFmtId="1" fontId="95" fillId="72" borderId="47" xfId="12" applyNumberFormat="1" applyFont="1" applyFill="1" applyBorder="1" applyAlignment="1" applyProtection="1">
      <alignment horizontal="center" vertical="center" wrapText="1"/>
    </xf>
    <xf numFmtId="0" fontId="105" fillId="0" borderId="48" xfId="7" applyFont="1" applyBorder="1" applyAlignment="1" applyProtection="1">
      <alignment horizontal="left" vertical="center" wrapText="1"/>
    </xf>
    <xf numFmtId="0" fontId="105" fillId="0" borderId="36" xfId="7" applyFont="1" applyFill="1" applyBorder="1" applyAlignment="1" applyProtection="1">
      <alignment horizontal="justify" vertical="center" wrapText="1"/>
    </xf>
    <xf numFmtId="0" fontId="0" fillId="0" borderId="0" xfId="0" applyAlignment="1">
      <alignment horizontal="center"/>
    </xf>
  </cellXfs>
  <cellStyles count="3231">
    <cellStyle name="'" xfId="14"/>
    <cellStyle name="%" xfId="3"/>
    <cellStyle name="% 2" xfId="16"/>
    <cellStyle name="% 3" xfId="17"/>
    <cellStyle name="% 4" xfId="15"/>
    <cellStyle name="%_2_инсталляция 4кв " xfId="18"/>
    <cellStyle name="%_База" xfId="19"/>
    <cellStyle name="%_База_1" xfId="20"/>
    <cellStyle name="%_База_1_Свод" xfId="21"/>
    <cellStyle name="%_База_2" xfId="22"/>
    <cellStyle name="%_База_База" xfId="23"/>
    <cellStyle name="__ДДС_П2 СЗТ08" xfId="24"/>
    <cellStyle name="__ДДС_П4 СЗТ09" xfId="25"/>
    <cellStyle name="__ОборотКЗП2 для БО" xfId="26"/>
    <cellStyle name="_01" xfId="27"/>
    <cellStyle name="_05_База_за_3 квартал" xfId="28"/>
    <cellStyle name="_05_База_за_декабрь уточн" xfId="29"/>
    <cellStyle name="_07" xfId="30"/>
    <cellStyle name="_2_инсталляция 4кв " xfId="31"/>
    <cellStyle name="_2010_II_F0145" xfId="32"/>
    <cellStyle name="_333" xfId="33"/>
    <cellStyle name="_50-Инвестиц_05_август" xfId="34"/>
    <cellStyle name="_Cost" xfId="35"/>
    <cellStyle name="_header_grey" xfId="36"/>
    <cellStyle name="_header_italic" xfId="37"/>
    <cellStyle name="_header_vertical" xfId="38"/>
    <cellStyle name="_Inv" xfId="39"/>
    <cellStyle name="_Invest _052" xfId="40"/>
    <cellStyle name="_Invest_04_факт_декабрь_проверка_КЗ" xfId="41"/>
    <cellStyle name="_Invest_05_факт_июнь" xfId="42"/>
    <cellStyle name="_Invest_06_v11" xfId="43"/>
    <cellStyle name="_PL_СЗТ_2007_08.11.06" xfId="44"/>
    <cellStyle name="_PL_СЗТ_4 кв 2006" xfId="45"/>
    <cellStyle name="_PL_СЗТ_4 кв 2007-ПланIV" xfId="46"/>
    <cellStyle name="_PL2008свод" xfId="47"/>
    <cellStyle name="_PON_модель_150709_на основе 060709_упущенная выгода отдельно" xfId="48"/>
    <cellStyle name="_Rate_account_v2_1_st_stage (4)" xfId="49"/>
    <cellStyle name="_Zayavka.xls Диагр. 100" xfId="50"/>
    <cellStyle name="_Zayavka.xls Диагр. 101" xfId="51"/>
    <cellStyle name="_Zayavka.xls Диагр. 102" xfId="52"/>
    <cellStyle name="_Zayavka.xls Диагр. 103" xfId="53"/>
    <cellStyle name="_Zayavka.xls Диагр. 104" xfId="54"/>
    <cellStyle name="_Zayavka.xls Диагр. 105" xfId="55"/>
    <cellStyle name="_Zayavka.xls Диагр. 106" xfId="56"/>
    <cellStyle name="_Zayavka.xls Диагр. 107" xfId="57"/>
    <cellStyle name="_Zayavka.xls Диагр. 108" xfId="58"/>
    <cellStyle name="_Zayavka.xls Диагр. 109" xfId="59"/>
    <cellStyle name="_Zayavka.xls Диагр. 110" xfId="60"/>
    <cellStyle name="_Zayavka.xls Диагр. 111" xfId="61"/>
    <cellStyle name="_Zayavka.xls Диагр. 112" xfId="62"/>
    <cellStyle name="_Zayavka.xls Диагр. 113" xfId="63"/>
    <cellStyle name="_Zayavka.xls Диагр. 114" xfId="64"/>
    <cellStyle name="_Zayavka.xls Диагр. 115" xfId="65"/>
    <cellStyle name="_Zayavka.xls Диагр. 116" xfId="66"/>
    <cellStyle name="_Zayavka.xls Диагр. 117" xfId="67"/>
    <cellStyle name="_Zayavka.xls Диагр. 118" xfId="68"/>
    <cellStyle name="_Zayavka.xls Диагр. 119" xfId="69"/>
    <cellStyle name="_Zayavka.xls Диагр. 120" xfId="70"/>
    <cellStyle name="_Zayavka.xls Диагр. 121" xfId="71"/>
    <cellStyle name="_Zayavka.xls Диагр. 122" xfId="72"/>
    <cellStyle name="_Zayavka.xls Диагр. 123" xfId="73"/>
    <cellStyle name="_Zayavka.xls Диагр. 124" xfId="74"/>
    <cellStyle name="_Zayavka.xls Диагр. 125" xfId="75"/>
    <cellStyle name="_Zayavka.xls Диагр. 126" xfId="76"/>
    <cellStyle name="_Zayavka.xls Диагр. 127" xfId="77"/>
    <cellStyle name="_Zayavka.xls Диагр. 128" xfId="78"/>
    <cellStyle name="_Zayavka.xls Диагр. 129" xfId="79"/>
    <cellStyle name="_Zayavka.xls Диагр. 130" xfId="80"/>
    <cellStyle name="_Zayavka.xls Диагр. 131" xfId="81"/>
    <cellStyle name="_Zayavka.xls Диагр. 132" xfId="82"/>
    <cellStyle name="_Zayavka.xls Диагр. 133" xfId="83"/>
    <cellStyle name="_Zayavka.xls Диагр. 134" xfId="84"/>
    <cellStyle name="_Zayavka.xls Диагр. 135" xfId="85"/>
    <cellStyle name="_Zayavka.xls Диагр. 136" xfId="86"/>
    <cellStyle name="_Zayavka.xls Диагр. 137" xfId="87"/>
    <cellStyle name="_Zayavka.xls Диагр. 138" xfId="88"/>
    <cellStyle name="_Zayavka.xls Диагр. 139" xfId="89"/>
    <cellStyle name="_Zayavka.xls Диагр. 140" xfId="90"/>
    <cellStyle name="_Zayavka.xls Диагр. 141" xfId="91"/>
    <cellStyle name="_Zayavka.xls Диагр. 142" xfId="92"/>
    <cellStyle name="_Zayavka.xls Диагр. 144" xfId="93"/>
    <cellStyle name="_Zayavka.xls Диагр. 145" xfId="94"/>
    <cellStyle name="_Zayavka.xls Диагр. 146" xfId="95"/>
    <cellStyle name="_Zayavka.xls Диагр. 147" xfId="96"/>
    <cellStyle name="_Zayavka.xls Диагр. 89" xfId="97"/>
    <cellStyle name="_Zayavka.xls Диагр. 90" xfId="98"/>
    <cellStyle name="_Zayavka.xls Диагр. 91" xfId="99"/>
    <cellStyle name="_Zayavka.xls Диагр. 92" xfId="100"/>
    <cellStyle name="_Zayavka.xls Диагр. 93" xfId="101"/>
    <cellStyle name="_Zayavka.xls Диагр. 94" xfId="102"/>
    <cellStyle name="_Zayavka.xls Диагр. 95" xfId="103"/>
    <cellStyle name="_Zayavka.xls Диагр. 96" xfId="104"/>
    <cellStyle name="_Zayavka.xls Диагр. 97" xfId="105"/>
    <cellStyle name="_Zayavka.xls Диагр. 98" xfId="106"/>
    <cellStyle name="_Zayavka.xls Диагр. 99" xfId="107"/>
    <cellStyle name="_Анализ" xfId="108"/>
    <cellStyle name="_Анализ_апрель" xfId="109"/>
    <cellStyle name="_Анализ_май" xfId="110"/>
    <cellStyle name="_Бюджет_2007" xfId="111"/>
    <cellStyle name="_БюджетPLДДС2009_V94форма" xfId="112"/>
    <cellStyle name="_ГД" xfId="113"/>
    <cellStyle name="_Данные о состоянии дебиторской задолженности_СЗТ 2007.03" xfId="114"/>
    <cellStyle name="_Данные о состоянии дебиторской задолженности_СЗТ 2007.03 (вар 2)" xfId="115"/>
    <cellStyle name="_ДДС" xfId="116"/>
    <cellStyle name="_Для Опер  отчет_СЗТ 2007 01-03(ДДС)" xfId="117"/>
    <cellStyle name="_для принципов 2008 к БИК 96 140807" xfId="118"/>
    <cellStyle name="_Июль-сент_ОИ" xfId="119"/>
    <cellStyle name="_ИюньОИ" xfId="120"/>
    <cellStyle name="_Книга1" xfId="121"/>
    <cellStyle name="_Книга2" xfId="122"/>
    <cellStyle name="_Кор-ки" xfId="123"/>
    <cellStyle name="_Кор-ки инв" xfId="124"/>
    <cellStyle name="_Кредиты 2006" xfId="125"/>
    <cellStyle name="_КС_ЮЛ_3 кв._09_КК" xfId="126"/>
    <cellStyle name="_Лист в C: Documents and Settings SmorchkovMN Local Settings Temporary Internet Files OLK10 Итоги выполнения показателей бюджета на 10.06" xfId="127"/>
    <cellStyle name="_Лист1" xfId="128"/>
    <cellStyle name="_Лист1_DDS_Inv_2011" xfId="129"/>
    <cellStyle name="_Лист1_ДДС" xfId="130"/>
    <cellStyle name="_Лист2" xfId="131"/>
    <cellStyle name="_Модель прогноза_Сибирьтелеком" xfId="132"/>
    <cellStyle name="_НП_21октября (Карпов)" xfId="133"/>
    <cellStyle name="_НП_апрель" xfId="134"/>
    <cellStyle name="_НП_апрель1" xfId="135"/>
    <cellStyle name="_Общий_файл_для_отметок" xfId="136"/>
    <cellStyle name="_Опер. отчет_СЗТ 2006.04-06 ч. 2)" xfId="137"/>
    <cellStyle name="_Опер. отчет_СЗТ 2006.10-12(ч.2)" xfId="138"/>
    <cellStyle name="_ОРДЗ" xfId="139"/>
    <cellStyle name="_ОРДЗ на 01.01.07" xfId="140"/>
    <cellStyle name="_ОРДЗ на 01.02.07  Таблицы" xfId="141"/>
    <cellStyle name="_ОРДЗ на 01.02.07  Таблицы уточненн вар" xfId="142"/>
    <cellStyle name="_ОРДЗ на 01.03.07  Таблицы" xfId="143"/>
    <cellStyle name="_ОРДЗ на 01.04.06" xfId="144"/>
    <cellStyle name="_ОРДЗ на 01.05.06" xfId="145"/>
    <cellStyle name="_ОРДЗ на 01.06.06 для отправки" xfId="146"/>
    <cellStyle name="_ОРДЗ на 01.07.06 для отправки" xfId="147"/>
    <cellStyle name="_ОРДЗ на 01.07.06 для отправки уточненный" xfId="148"/>
    <cellStyle name="_ОРДЗ на 01.08.06 для отправки" xfId="149"/>
    <cellStyle name="_ОРДЗ на 01.09.06 для отправки" xfId="150"/>
    <cellStyle name="_ОРДЗ на 01.10.06" xfId="151"/>
    <cellStyle name="_ОРДЗ на 01.11.06" xfId="152"/>
    <cellStyle name="_Основные_аппараты_2005" xfId="153"/>
    <cellStyle name="_Отчет за 1 квартал 2004 года" xfId="154"/>
    <cellStyle name="_Отчет из SUN 2007 апрель 1105_вар_2" xfId="155"/>
    <cellStyle name="_Отчет_05_апрель" xfId="156"/>
    <cellStyle name="_Отчет_05_декабрь" xfId="157"/>
    <cellStyle name="_Отчет_05_июль" xfId="158"/>
    <cellStyle name="_Отчет_05_июнь" xfId="159"/>
    <cellStyle name="_Отчет_05_май" xfId="160"/>
    <cellStyle name="_Отчет_05_май1" xfId="161"/>
    <cellStyle name="_Отчет_05_март1" xfId="162"/>
    <cellStyle name="_Отчет_05_ноябрь" xfId="163"/>
    <cellStyle name="_Отчет_05_октябрь" xfId="164"/>
    <cellStyle name="_Отчет_05_октябрь_1811" xfId="165"/>
    <cellStyle name="_Отчет_05_сентябрь_нов" xfId="166"/>
    <cellStyle name="_Отчет_05_февраль" xfId="167"/>
    <cellStyle name="_Отчет_05_январь" xfId="168"/>
    <cellStyle name="_Отчет_06_март" xfId="169"/>
    <cellStyle name="_Отчет_06_февраль" xfId="170"/>
    <cellStyle name="_Отчет_06_январь" xfId="171"/>
    <cellStyle name="_Отчет_07_март" xfId="172"/>
    <cellStyle name="_Отчет_07_февраль" xfId="173"/>
    <cellStyle name="_Отчет_07_январь" xfId="174"/>
    <cellStyle name="_Отчет_август" xfId="175"/>
    <cellStyle name="_Отчет_декабрь" xfId="176"/>
    <cellStyle name="_Отчет_июль" xfId="177"/>
    <cellStyle name="_Отчет_июнь1" xfId="178"/>
    <cellStyle name="_Отчет_ноябрь" xfId="179"/>
    <cellStyle name="_Отчет_октябрь" xfId="180"/>
    <cellStyle name="_Отчет_сентябрь" xfId="181"/>
    <cellStyle name="_план" xfId="182"/>
    <cellStyle name="_План развития ШПД_инфо_08 07 2008_" xfId="183"/>
    <cellStyle name="_Приложения" xfId="184"/>
    <cellStyle name="_ПРИОРИТЕТЫ_пофилиально_после_БИК_значения_310306" xfId="185"/>
    <cellStyle name="_Прогноз_2009-2013" xfId="186"/>
    <cellStyle name="_Прогноз_5Y_2008-2012-СЗТ" xfId="187"/>
    <cellStyle name="_Расчет ОКВ_ЮРЛ_1" xfId="188"/>
    <cellStyle name="_расширение_2007_МСС_СЗТ_таблица-16_08 (new1)" xfId="189"/>
    <cellStyle name="_Расшифр_01_05" xfId="190"/>
    <cellStyle name="_СЗТ" xfId="191"/>
    <cellStyle name="_СЗТ_Прогноз_2007-2011 для Стратегии" xfId="192"/>
    <cellStyle name="_Спека и Расчет окупаемости_УСИ_Cisco" xfId="193"/>
    <cellStyle name="_Статус" xfId="194"/>
    <cellStyle name="_Сценарий АнтиПОН_v1_010210" xfId="195"/>
    <cellStyle name="_Таблица 1.1 Основные экономические показатели" xfId="196"/>
    <cellStyle name="_Таблица 1.1. Осн эконом показатели" xfId="197"/>
    <cellStyle name="_Таблица 1.3 ПиУ" xfId="198"/>
    <cellStyle name="_Таблица 1.3 ПиУ (с корректировками на 18.10.06)" xfId="199"/>
    <cellStyle name="_Таблицы для ПЗ селектор за октябрь 06" xfId="200"/>
    <cellStyle name="_ТЭО проекта 75% PON в СПб_v7_300610_принят за базу (75%)" xfId="201"/>
    <cellStyle name="_ФИН_ЗАДОЛЖЕННОСТЬ" xfId="202"/>
    <cellStyle name="_ФИНЗАД_01" xfId="203"/>
    <cellStyle name="_ФОРМА КД2008" xfId="204"/>
    <cellStyle name="_Форма_БюджетPLДДС2008" xfId="205"/>
    <cellStyle name="_Формат отчета PL" xfId="206"/>
    <cellStyle name="_Формы отчетов для СВОС РФ (2)" xfId="207"/>
    <cellStyle name="_ЦРФ" xfId="208"/>
    <cellStyle name="_шаблон ПиУ ДДС ДЗ 2009" xfId="209"/>
    <cellStyle name="0,0_x000d__x000a_NA_x000d__x000a_" xfId="210"/>
    <cellStyle name="0,0_x000d__x000a_NA_x000d__x000a_ 2" xfId="211"/>
    <cellStyle name="0,0_x000d__x000a_NA_x000d__x000a_ 3" xfId="212"/>
    <cellStyle name="0. Заголовок раздела" xfId="213"/>
    <cellStyle name="01_Validation" xfId="214"/>
    <cellStyle name="02_Amount_from_OSV" xfId="215"/>
    <cellStyle name="1,2. Статья или позиция" xfId="216"/>
    <cellStyle name="20% - Акцент1 2" xfId="217"/>
    <cellStyle name="20% - Акцент1 2 2" xfId="218"/>
    <cellStyle name="20% - Акцент1 2 3" xfId="219"/>
    <cellStyle name="20% - Акцент1 2 4" xfId="220"/>
    <cellStyle name="20% - Акцент1 3" xfId="221"/>
    <cellStyle name="20% - Акцент1 4" xfId="222"/>
    <cellStyle name="20% - Акцент1 5" xfId="223"/>
    <cellStyle name="20% - Акцент1 6" xfId="224"/>
    <cellStyle name="20% - Акцент2 2" xfId="225"/>
    <cellStyle name="20% - Акцент2 2 2" xfId="226"/>
    <cellStyle name="20% - Акцент2 2 3" xfId="227"/>
    <cellStyle name="20% - Акцент2 2 4" xfId="228"/>
    <cellStyle name="20% - Акцент2 3" xfId="229"/>
    <cellStyle name="20% - Акцент2 4" xfId="230"/>
    <cellStyle name="20% - Акцент2 5" xfId="231"/>
    <cellStyle name="20% - Акцент2 6" xfId="232"/>
    <cellStyle name="20% - Акцент3 2" xfId="233"/>
    <cellStyle name="20% - Акцент3 2 2" xfId="234"/>
    <cellStyle name="20% - Акцент3 2 3" xfId="235"/>
    <cellStyle name="20% - Акцент3 2 4" xfId="236"/>
    <cellStyle name="20% - Акцент3 3" xfId="237"/>
    <cellStyle name="20% - Акцент3 4" xfId="238"/>
    <cellStyle name="20% - Акцент3 5" xfId="239"/>
    <cellStyle name="20% - Акцент3 6" xfId="240"/>
    <cellStyle name="20% - Акцент4 2" xfId="241"/>
    <cellStyle name="20% - Акцент4 2 2" xfId="242"/>
    <cellStyle name="20% - Акцент4 2 3" xfId="243"/>
    <cellStyle name="20% - Акцент4 2 4" xfId="244"/>
    <cellStyle name="20% - Акцент4 3" xfId="245"/>
    <cellStyle name="20% - Акцент4 4" xfId="246"/>
    <cellStyle name="20% - Акцент4 5" xfId="247"/>
    <cellStyle name="20% - Акцент4 6" xfId="248"/>
    <cellStyle name="20% - Акцент5 2" xfId="249"/>
    <cellStyle name="20% - Акцент5 2 2" xfId="250"/>
    <cellStyle name="20% - Акцент5 2 3" xfId="251"/>
    <cellStyle name="20% - Акцент5 2 4" xfId="252"/>
    <cellStyle name="20% - Акцент5 3" xfId="253"/>
    <cellStyle name="20% - Акцент5 4" xfId="254"/>
    <cellStyle name="20% - Акцент5 5" xfId="255"/>
    <cellStyle name="20% - Акцент5 6" xfId="256"/>
    <cellStyle name="20% - Акцент6 2" xfId="257"/>
    <cellStyle name="20% - Акцент6 2 2" xfId="258"/>
    <cellStyle name="20% - Акцент6 2 3" xfId="259"/>
    <cellStyle name="20% - Акцент6 2 4" xfId="260"/>
    <cellStyle name="20% - Акцент6 3" xfId="261"/>
    <cellStyle name="20% - Акцент6 4" xfId="262"/>
    <cellStyle name="20% - Акцент6 5" xfId="263"/>
    <cellStyle name="20% - Акцент6 6" xfId="264"/>
    <cellStyle name="3. Вид услуги" xfId="265"/>
    <cellStyle name="3. Заголовок подраздела" xfId="266"/>
    <cellStyle name="4,5,6. Цена" xfId="267"/>
    <cellStyle name="40% - Акцент1 2" xfId="268"/>
    <cellStyle name="40% - Акцент1 2 2" xfId="269"/>
    <cellStyle name="40% - Акцент1 2 3" xfId="270"/>
    <cellStyle name="40% - Акцент1 2 4" xfId="271"/>
    <cellStyle name="40% - Акцент1 3" xfId="272"/>
    <cellStyle name="40% - Акцент1 4" xfId="273"/>
    <cellStyle name="40% - Акцент1 5" xfId="274"/>
    <cellStyle name="40% - Акцент1 6" xfId="275"/>
    <cellStyle name="40% - Акцент2 2" xfId="276"/>
    <cellStyle name="40% - Акцент2 2 2" xfId="277"/>
    <cellStyle name="40% - Акцент2 2 3" xfId="278"/>
    <cellStyle name="40% - Акцент2 2 4" xfId="279"/>
    <cellStyle name="40% - Акцент2 3" xfId="280"/>
    <cellStyle name="40% - Акцент2 4" xfId="281"/>
    <cellStyle name="40% - Акцент2 5" xfId="282"/>
    <cellStyle name="40% - Акцент2 6" xfId="283"/>
    <cellStyle name="40% - Акцент3 2" xfId="284"/>
    <cellStyle name="40% - Акцент3 2 2" xfId="285"/>
    <cellStyle name="40% - Акцент3 2 3" xfId="286"/>
    <cellStyle name="40% - Акцент3 2 4" xfId="287"/>
    <cellStyle name="40% - Акцент3 3" xfId="288"/>
    <cellStyle name="40% - Акцент3 4" xfId="289"/>
    <cellStyle name="40% - Акцент3 5" xfId="290"/>
    <cellStyle name="40% - Акцент3 6" xfId="291"/>
    <cellStyle name="40% - Акцент4 2" xfId="292"/>
    <cellStyle name="40% - Акцент4 2 2" xfId="293"/>
    <cellStyle name="40% - Акцент4 2 3" xfId="294"/>
    <cellStyle name="40% - Акцент4 2 4" xfId="295"/>
    <cellStyle name="40% - Акцент4 3" xfId="296"/>
    <cellStyle name="40% - Акцент4 4" xfId="297"/>
    <cellStyle name="40% - Акцент4 5" xfId="298"/>
    <cellStyle name="40% - Акцент4 6" xfId="299"/>
    <cellStyle name="40% - Акцент5 2" xfId="300"/>
    <cellStyle name="40% - Акцент5 2 2" xfId="301"/>
    <cellStyle name="40% - Акцент5 2 3" xfId="302"/>
    <cellStyle name="40% - Акцент5 2 4" xfId="303"/>
    <cellStyle name="40% - Акцент5 3" xfId="304"/>
    <cellStyle name="40% - Акцент5 4" xfId="305"/>
    <cellStyle name="40% - Акцент5 5" xfId="306"/>
    <cellStyle name="40% - Акцент5 6" xfId="307"/>
    <cellStyle name="40% - Акцент6 2" xfId="308"/>
    <cellStyle name="40% - Акцент6 2 2" xfId="309"/>
    <cellStyle name="40% - Акцент6 2 3" xfId="310"/>
    <cellStyle name="40% - Акцент6 2 4" xfId="311"/>
    <cellStyle name="40% - Акцент6 3" xfId="312"/>
    <cellStyle name="40% - Акцент6 4" xfId="313"/>
    <cellStyle name="40% - Акцент6 5" xfId="314"/>
    <cellStyle name="40% - Акцент6 6" xfId="315"/>
    <cellStyle name="60% - Акцент1 2" xfId="316"/>
    <cellStyle name="60% - Акцент1 2 2" xfId="317"/>
    <cellStyle name="60% - Акцент1 2 3" xfId="318"/>
    <cellStyle name="60% - Акцент1 2 4" xfId="319"/>
    <cellStyle name="60% - Акцент1 3" xfId="320"/>
    <cellStyle name="60% - Акцент1 4" xfId="321"/>
    <cellStyle name="60% - Акцент1 5" xfId="322"/>
    <cellStyle name="60% - Акцент1 6" xfId="323"/>
    <cellStyle name="60% - Акцент2 2" xfId="324"/>
    <cellStyle name="60% - Акцент2 2 2" xfId="325"/>
    <cellStyle name="60% - Акцент2 2 3" xfId="326"/>
    <cellStyle name="60% - Акцент2 2 4" xfId="327"/>
    <cellStyle name="60% - Акцент2 3" xfId="328"/>
    <cellStyle name="60% - Акцент2 4" xfId="329"/>
    <cellStyle name="60% - Акцент2 5" xfId="330"/>
    <cellStyle name="60% - Акцент2 6" xfId="331"/>
    <cellStyle name="60% - Акцент3 2" xfId="332"/>
    <cellStyle name="60% - Акцент3 2 2" xfId="333"/>
    <cellStyle name="60% - Акцент3 2 3" xfId="334"/>
    <cellStyle name="60% - Акцент3 2 4" xfId="335"/>
    <cellStyle name="60% - Акцент3 3" xfId="336"/>
    <cellStyle name="60% - Акцент3 4" xfId="337"/>
    <cellStyle name="60% - Акцент3 5" xfId="338"/>
    <cellStyle name="60% - Акцент3 6" xfId="339"/>
    <cellStyle name="60% - Акцент4 2" xfId="340"/>
    <cellStyle name="60% - Акцент4 2 2" xfId="341"/>
    <cellStyle name="60% - Акцент4 2 3" xfId="342"/>
    <cellStyle name="60% - Акцент4 2 4" xfId="343"/>
    <cellStyle name="60% - Акцент4 3" xfId="344"/>
    <cellStyle name="60% - Акцент4 4" xfId="345"/>
    <cellStyle name="60% - Акцент4 5" xfId="346"/>
    <cellStyle name="60% - Акцент4 6" xfId="347"/>
    <cellStyle name="60% - Акцент5 2" xfId="348"/>
    <cellStyle name="60% - Акцент5 2 2" xfId="349"/>
    <cellStyle name="60% - Акцент5 2 3" xfId="350"/>
    <cellStyle name="60% - Акцент5 2 4" xfId="351"/>
    <cellStyle name="60% - Акцент5 3" xfId="352"/>
    <cellStyle name="60% - Акцент5 4" xfId="353"/>
    <cellStyle name="60% - Акцент5 5" xfId="354"/>
    <cellStyle name="60% - Акцент5 6" xfId="355"/>
    <cellStyle name="60% - Акцент6 2" xfId="356"/>
    <cellStyle name="60% - Акцент6 2 2" xfId="357"/>
    <cellStyle name="60% - Акцент6 2 3" xfId="358"/>
    <cellStyle name="60% - Акцент6 2 4" xfId="359"/>
    <cellStyle name="60% - Акцент6 3" xfId="360"/>
    <cellStyle name="60% - Акцент6 4" xfId="361"/>
    <cellStyle name="60% - Акцент6 5" xfId="362"/>
    <cellStyle name="60% - Акцент6 6" xfId="363"/>
    <cellStyle name="Aaia?iue [0]_laroux" xfId="364"/>
    <cellStyle name="Aaia?iue_laroux" xfId="365"/>
    <cellStyle name="Accent1" xfId="366"/>
    <cellStyle name="Accent1 - 20%" xfId="367"/>
    <cellStyle name="Accent1 - 40%" xfId="368"/>
    <cellStyle name="Accent1 - 60%" xfId="369"/>
    <cellStyle name="Accent2" xfId="370"/>
    <cellStyle name="Accent2 - 20%" xfId="371"/>
    <cellStyle name="Accent2 - 40%" xfId="372"/>
    <cellStyle name="Accent2 - 60%" xfId="373"/>
    <cellStyle name="Accent3" xfId="374"/>
    <cellStyle name="Accent3 - 20%" xfId="375"/>
    <cellStyle name="Accent3 - 40%" xfId="376"/>
    <cellStyle name="Accent3 - 60%" xfId="377"/>
    <cellStyle name="Accent4" xfId="378"/>
    <cellStyle name="Accent4 - 20%" xfId="379"/>
    <cellStyle name="Accent4 - 40%" xfId="380"/>
    <cellStyle name="Accent4 - 60%" xfId="381"/>
    <cellStyle name="Accent5" xfId="382"/>
    <cellStyle name="Accent5 - 20%" xfId="383"/>
    <cellStyle name="Accent5 - 40%" xfId="384"/>
    <cellStyle name="Accent5 - 60%" xfId="385"/>
    <cellStyle name="Accent6" xfId="386"/>
    <cellStyle name="Accent6 - 20%" xfId="387"/>
    <cellStyle name="Accent6 - 40%" xfId="388"/>
    <cellStyle name="Accent6 - 60%" xfId="389"/>
    <cellStyle name="account" xfId="390"/>
    <cellStyle name="Accounting" xfId="391"/>
    <cellStyle name="Acdldnnueer" xfId="392"/>
    <cellStyle name="Alilciue [0]_13o2" xfId="393"/>
    <cellStyle name="Alilciue_13o2" xfId="394"/>
    <cellStyle name="Amount_from_OSV" xfId="395"/>
    <cellStyle name="Anna" xfId="396"/>
    <cellStyle name="AP_AR_UPS" xfId="397"/>
    <cellStyle name="BackGround_General" xfId="398"/>
    <cellStyle name="Bad" xfId="399"/>
    <cellStyle name="blank" xfId="400"/>
    <cellStyle name="Blue_Calculation" xfId="401"/>
    <cellStyle name="border" xfId="402"/>
    <cellStyle name="border 2" xfId="403"/>
    <cellStyle name="border 3" xfId="404"/>
    <cellStyle name="border 4" xfId="405"/>
    <cellStyle name="border 5" xfId="406"/>
    <cellStyle name="border 6" xfId="407"/>
    <cellStyle name="border 7" xfId="408"/>
    <cellStyle name="border 8" xfId="409"/>
    <cellStyle name="border 9" xfId="410"/>
    <cellStyle name="border_DDS_Inv_2011" xfId="411"/>
    <cellStyle name="Calculation" xfId="412"/>
    <cellStyle name="Chapter title" xfId="413"/>
    <cellStyle name="Chapter Total" xfId="414"/>
    <cellStyle name="Check" xfId="415"/>
    <cellStyle name="Check Cell" xfId="416"/>
    <cellStyle name="Comma [0]_irl tel sep5" xfId="417"/>
    <cellStyle name="Comma_Footnotes_NNovgorod" xfId="418"/>
    <cellStyle name="Currency [0]_irl tel sep5" xfId="419"/>
    <cellStyle name="Currency_HP-COMP" xfId="420"/>
    <cellStyle name="Date" xfId="421"/>
    <cellStyle name="default" xfId="422"/>
    <cellStyle name="Dezimal [0]_Compiling Utility Macros" xfId="423"/>
    <cellStyle name="Dezimal_Compiling Utility Macros" xfId="424"/>
    <cellStyle name="Emphasis 1" xfId="425"/>
    <cellStyle name="Emphasis 2" xfId="426"/>
    <cellStyle name="Emphasis 3" xfId="427"/>
    <cellStyle name="Flag" xfId="428"/>
    <cellStyle name="Flag 2" xfId="429"/>
    <cellStyle name="Flag 3" xfId="430"/>
    <cellStyle name="Flag 4" xfId="431"/>
    <cellStyle name="Flag 5" xfId="432"/>
    <cellStyle name="Flag 6" xfId="433"/>
    <cellStyle name="Flag 7" xfId="434"/>
    <cellStyle name="Flag 8" xfId="435"/>
    <cellStyle name="Flag 9" xfId="436"/>
    <cellStyle name="Flag_DDS_Inv_2011" xfId="437"/>
    <cellStyle name="Footnotes" xfId="438"/>
    <cellStyle name="Footnotes 2" xfId="439"/>
    <cellStyle name="Footnotes 3" xfId="440"/>
    <cellStyle name="Footnotes 4" xfId="441"/>
    <cellStyle name="Footnotes 5" xfId="442"/>
    <cellStyle name="Footnotes 6" xfId="443"/>
    <cellStyle name="Footnotes 7" xfId="444"/>
    <cellStyle name="Footnotes 8" xfId="445"/>
    <cellStyle name="Footnotes 9" xfId="446"/>
    <cellStyle name="For_B_column" xfId="447"/>
    <cellStyle name="General_Ledger" xfId="448"/>
    <cellStyle name="Good" xfId="449"/>
    <cellStyle name="Grey" xfId="450"/>
    <cellStyle name="Grey 2" xfId="451"/>
    <cellStyle name="Grey 3" xfId="452"/>
    <cellStyle name="Grey 4" xfId="453"/>
    <cellStyle name="Grey 5" xfId="454"/>
    <cellStyle name="Grey 6" xfId="455"/>
    <cellStyle name="Grey 7" xfId="456"/>
    <cellStyle name="Grey 8" xfId="457"/>
    <cellStyle name="Grey 9" xfId="458"/>
    <cellStyle name="Grey_DDS_Inv_2011" xfId="459"/>
    <cellStyle name="grid" xfId="460"/>
    <cellStyle name="Heading 1" xfId="461"/>
    <cellStyle name="Heading 2" xfId="462"/>
    <cellStyle name="Heading 3" xfId="463"/>
    <cellStyle name="Heading 4" xfId="464"/>
    <cellStyle name="Heading2" xfId="465"/>
    <cellStyle name="Heading2 2" xfId="466"/>
    <cellStyle name="Heading2 3" xfId="467"/>
    <cellStyle name="Heading2 4" xfId="468"/>
    <cellStyle name="Heading2 5" xfId="469"/>
    <cellStyle name="Heading2 6" xfId="470"/>
    <cellStyle name="Heading2 7" xfId="471"/>
    <cellStyle name="Heading2 8" xfId="472"/>
    <cellStyle name="Heading2 9" xfId="473"/>
    <cellStyle name="Heading2_DDS_Inv_2011" xfId="474"/>
    <cellStyle name="Heading3" xfId="475"/>
    <cellStyle name="Heading3 2" xfId="476"/>
    <cellStyle name="Heading3 3" xfId="477"/>
    <cellStyle name="Heading3 4" xfId="478"/>
    <cellStyle name="Heading3 5" xfId="479"/>
    <cellStyle name="Heading3 6" xfId="480"/>
    <cellStyle name="Heading3 7" xfId="481"/>
    <cellStyle name="Heading3 8" xfId="482"/>
    <cellStyle name="Heading3 9" xfId="483"/>
    <cellStyle name="Heading3_DDS_Inv_2011" xfId="484"/>
    <cellStyle name="Headline I" xfId="485"/>
    <cellStyle name="Headline I 2" xfId="486"/>
    <cellStyle name="Headline I 3" xfId="487"/>
    <cellStyle name="Headline I 4" xfId="488"/>
    <cellStyle name="Headline I 5" xfId="489"/>
    <cellStyle name="Headline I 6" xfId="490"/>
    <cellStyle name="Headline I 7" xfId="491"/>
    <cellStyle name="Headline I 8" xfId="492"/>
    <cellStyle name="Headline I 9" xfId="493"/>
    <cellStyle name="Headline I_DDS_Inv_2011" xfId="494"/>
    <cellStyle name="Headline II" xfId="495"/>
    <cellStyle name="Headline II 2" xfId="496"/>
    <cellStyle name="Headline II 3" xfId="497"/>
    <cellStyle name="Headline II 4" xfId="498"/>
    <cellStyle name="Headline II 5" xfId="499"/>
    <cellStyle name="Headline II 6" xfId="500"/>
    <cellStyle name="Headline II 7" xfId="501"/>
    <cellStyle name="Headline II 8" xfId="502"/>
    <cellStyle name="Headline II 9" xfId="503"/>
    <cellStyle name="Headline II_DDS_Inv_2011" xfId="504"/>
    <cellStyle name="Headline III" xfId="505"/>
    <cellStyle name="Headline III 2" xfId="506"/>
    <cellStyle name="Headline III 3" xfId="507"/>
    <cellStyle name="Headline III 4" xfId="508"/>
    <cellStyle name="Headline III 5" xfId="509"/>
    <cellStyle name="Headline III 6" xfId="510"/>
    <cellStyle name="Headline III 7" xfId="511"/>
    <cellStyle name="Headline III 8" xfId="512"/>
    <cellStyle name="Headline III 9" xfId="513"/>
    <cellStyle name="Headline III_DDS_Inv_2011" xfId="514"/>
    <cellStyle name="Hidden" xfId="515"/>
    <cellStyle name="Horizontal" xfId="516"/>
    <cellStyle name="hyperlink" xfId="517"/>
    <cellStyle name="Iau?iue_13o2" xfId="518"/>
    <cellStyle name="Input" xfId="519"/>
    <cellStyle name="Input [yellow]" xfId="520"/>
    <cellStyle name="Input_Any" xfId="521"/>
    <cellStyle name="Item Header" xfId="522"/>
    <cellStyle name="Just_Table" xfId="523"/>
    <cellStyle name="Komma (0)" xfId="524"/>
    <cellStyle name="Label_Blue" xfId="525"/>
    <cellStyle name="LeftTitle" xfId="526"/>
    <cellStyle name="Linked Cell" xfId="527"/>
    <cellStyle name="Neutral" xfId="528"/>
    <cellStyle name="No_Input" xfId="529"/>
    <cellStyle name="Normal - Style1" xfId="530"/>
    <cellStyle name="Normal 19" xfId="531"/>
    <cellStyle name="Normal 22" xfId="532"/>
    <cellStyle name="Normal_128 kbps_Multi Quote (2)" xfId="533"/>
    <cellStyle name="normalni_laroux" xfId="534"/>
    <cellStyle name="normбlnм_laroux" xfId="535"/>
    <cellStyle name="Note" xfId="536"/>
    <cellStyle name="Note 2" xfId="537"/>
    <cellStyle name="Note 3" xfId="538"/>
    <cellStyle name="Note 4" xfId="539"/>
    <cellStyle name="Note 5" xfId="540"/>
    <cellStyle name="Note 6" xfId="541"/>
    <cellStyle name="Note 7" xfId="542"/>
    <cellStyle name="Note 8" xfId="543"/>
    <cellStyle name="Note 9" xfId="544"/>
    <cellStyle name="Note_DDS_Inv_2011" xfId="545"/>
    <cellStyle name="Ociriniaue [0]_13o2" xfId="546"/>
    <cellStyle name="Ociriniaue_13o2" xfId="547"/>
    <cellStyle name="Option" xfId="548"/>
    <cellStyle name="OptionHeading" xfId="549"/>
    <cellStyle name="OptionHeading 2" xfId="550"/>
    <cellStyle name="OptionHeading 3" xfId="551"/>
    <cellStyle name="OptionHeading 4" xfId="552"/>
    <cellStyle name="OptionHeading 5" xfId="553"/>
    <cellStyle name="OptionHeading 6" xfId="554"/>
    <cellStyle name="OptionHeading 7" xfId="555"/>
    <cellStyle name="OptionHeading 8" xfId="556"/>
    <cellStyle name="OptionHeading 9" xfId="557"/>
    <cellStyle name="OptionHeading_DDS_Inv_2011" xfId="558"/>
    <cellStyle name="Ouny?e [0]_PR" xfId="559"/>
    <cellStyle name="Output" xfId="560"/>
    <cellStyle name="PageHeading" xfId="561"/>
    <cellStyle name="pagetitle" xfId="562"/>
    <cellStyle name="Percent [2]" xfId="563"/>
    <cellStyle name="Percent_PZ_tables" xfId="564"/>
    <cellStyle name="Percentage" xfId="565"/>
    <cellStyle name="Price" xfId="566"/>
    <cellStyle name="ProductClass" xfId="567"/>
    <cellStyle name="QTitle" xfId="568"/>
    <cellStyle name="Quote_Normal" xfId="569"/>
    <cellStyle name="range" xfId="570"/>
    <cellStyle name="range 10" xfId="571"/>
    <cellStyle name="range 2" xfId="572"/>
    <cellStyle name="range 3" xfId="573"/>
    <cellStyle name="range 4" xfId="574"/>
    <cellStyle name="range 5" xfId="575"/>
    <cellStyle name="range 6" xfId="576"/>
    <cellStyle name="range 7" xfId="577"/>
    <cellStyle name="range 8" xfId="578"/>
    <cellStyle name="range 9" xfId="579"/>
    <cellStyle name="range_DDS_Inv_2011" xfId="580"/>
    <cellStyle name="rep_complex_change" xfId="581"/>
    <cellStyle name="S3" xfId="582"/>
    <cellStyle name="S4" xfId="583"/>
    <cellStyle name="Sheet Title" xfId="584"/>
    <cellStyle name="Show_Sell" xfId="585"/>
    <cellStyle name="stand_bord" xfId="586"/>
    <cellStyle name="Standard_Anpassen der Amortisation" xfId="587"/>
    <cellStyle name="Style 1" xfId="588"/>
    <cellStyle name="Table" xfId="589"/>
    <cellStyle name="Table 2" xfId="590"/>
    <cellStyle name="Table 3" xfId="591"/>
    <cellStyle name="Table 4" xfId="592"/>
    <cellStyle name="Table 5" xfId="593"/>
    <cellStyle name="Table 6" xfId="594"/>
    <cellStyle name="Table 7" xfId="595"/>
    <cellStyle name="Table 8" xfId="596"/>
    <cellStyle name="Table 9" xfId="597"/>
    <cellStyle name="Table_Invest_11_факт_март_для КОРРЕКТИРОВКИ ПЛАНА" xfId="598"/>
    <cellStyle name="Title" xfId="599"/>
    <cellStyle name="Total" xfId="600"/>
    <cellStyle name="Tusental (0)_Blad1" xfId="601"/>
    <cellStyle name="Tusental_Blad1" xfId="602"/>
    <cellStyle name="Unit" xfId="603"/>
    <cellStyle name="USD" xfId="604"/>
    <cellStyle name="USDsum" xfId="605"/>
    <cellStyle name="Validation" xfId="606"/>
    <cellStyle name="Valuta (0)_Blad1" xfId="607"/>
    <cellStyle name="Valuta_Blad1" xfId="608"/>
    <cellStyle name="Vertical" xfId="609"/>
    <cellStyle name="Warning Text" xfId="610"/>
    <cellStyle name="white" xfId="611"/>
    <cellStyle name="Wдhrung [0]_Compiling Utility Macros" xfId="612"/>
    <cellStyle name="Wдhrung_Compiling Utility Macros" xfId="613"/>
    <cellStyle name="xx_data" xfId="6"/>
    <cellStyle name="Yellow" xfId="614"/>
    <cellStyle name="YelNumbersCurr" xfId="615"/>
    <cellStyle name="YelNumbersCurr 2" xfId="616"/>
    <cellStyle name="YelNumbersCurr 3" xfId="617"/>
    <cellStyle name="YelNumbersCurr_База" xfId="618"/>
    <cellStyle name="Акцент1 2" xfId="619"/>
    <cellStyle name="Акцент1 2 2" xfId="620"/>
    <cellStyle name="Акцент1 2 3" xfId="621"/>
    <cellStyle name="Акцент1 2 4" xfId="622"/>
    <cellStyle name="Акцент1 3" xfId="623"/>
    <cellStyle name="Акцент1 4" xfId="624"/>
    <cellStyle name="Акцент1 5" xfId="625"/>
    <cellStyle name="Акцент1 6" xfId="626"/>
    <cellStyle name="Акцент2 2" xfId="627"/>
    <cellStyle name="Акцент2 2 2" xfId="628"/>
    <cellStyle name="Акцент2 2 3" xfId="629"/>
    <cellStyle name="Акцент2 2 4" xfId="630"/>
    <cellStyle name="Акцент2 3" xfId="631"/>
    <cellStyle name="Акцент2 4" xfId="632"/>
    <cellStyle name="Акцент2 5" xfId="633"/>
    <cellStyle name="Акцент2 6" xfId="634"/>
    <cellStyle name="Акцент3 2" xfId="635"/>
    <cellStyle name="Акцент3 2 2" xfId="636"/>
    <cellStyle name="Акцент3 2 3" xfId="637"/>
    <cellStyle name="Акцент3 2 4" xfId="638"/>
    <cellStyle name="Акцент3 3" xfId="639"/>
    <cellStyle name="Акцент3 4" xfId="640"/>
    <cellStyle name="Акцент3 5" xfId="641"/>
    <cellStyle name="Акцент3 6" xfId="642"/>
    <cellStyle name="Акцент4 2" xfId="643"/>
    <cellStyle name="Акцент4 2 2" xfId="644"/>
    <cellStyle name="Акцент4 2 3" xfId="645"/>
    <cellStyle name="Акцент4 2 4" xfId="646"/>
    <cellStyle name="Акцент4 3" xfId="647"/>
    <cellStyle name="Акцент4 4" xfId="648"/>
    <cellStyle name="Акцент4 5" xfId="649"/>
    <cellStyle name="Акцент4 6" xfId="650"/>
    <cellStyle name="Акцент5 2" xfId="651"/>
    <cellStyle name="Акцент5 2 2" xfId="652"/>
    <cellStyle name="Акцент5 2 3" xfId="653"/>
    <cellStyle name="Акцент5 2 4" xfId="654"/>
    <cellStyle name="Акцент5 3" xfId="655"/>
    <cellStyle name="Акцент5 4" xfId="656"/>
    <cellStyle name="Акцент5 5" xfId="657"/>
    <cellStyle name="Акцент5 6" xfId="658"/>
    <cellStyle name="Акцент6 2" xfId="659"/>
    <cellStyle name="Акцент6 2 2" xfId="660"/>
    <cellStyle name="Акцент6 2 3" xfId="661"/>
    <cellStyle name="Акцент6 2 4" xfId="662"/>
    <cellStyle name="Акцент6 3" xfId="663"/>
    <cellStyle name="Акцент6 4" xfId="664"/>
    <cellStyle name="Акцент6 5" xfId="665"/>
    <cellStyle name="Акцент6 6" xfId="666"/>
    <cellStyle name="Ввод  2" xfId="667"/>
    <cellStyle name="Ввод  2 2" xfId="668"/>
    <cellStyle name="Ввод  2 3" xfId="669"/>
    <cellStyle name="Ввод  2 4" xfId="670"/>
    <cellStyle name="Ввод  3" xfId="671"/>
    <cellStyle name="Ввод  4" xfId="672"/>
    <cellStyle name="Ввод  5" xfId="673"/>
    <cellStyle name="Ввод  6" xfId="674"/>
    <cellStyle name="Вывод" xfId="3229" builtinId="21"/>
    <cellStyle name="Вывод 2" xfId="675"/>
    <cellStyle name="Вывод 2 2" xfId="676"/>
    <cellStyle name="Вывод 2 3" xfId="677"/>
    <cellStyle name="Вывод 2 4" xfId="678"/>
    <cellStyle name="Вывод 3" xfId="679"/>
    <cellStyle name="Вывод 4" xfId="680"/>
    <cellStyle name="Вывод 5" xfId="681"/>
    <cellStyle name="Вывод 6" xfId="682"/>
    <cellStyle name="Вычисление 2" xfId="683"/>
    <cellStyle name="Вычисление 2 2" xfId="684"/>
    <cellStyle name="Вычисление 2 3" xfId="685"/>
    <cellStyle name="Вычисление 2 4" xfId="686"/>
    <cellStyle name="Вычисление 3" xfId="687"/>
    <cellStyle name="Вычисление 4" xfId="688"/>
    <cellStyle name="Вычисление 5" xfId="689"/>
    <cellStyle name="Вычисление 6" xfId="690"/>
    <cellStyle name="Гиперссылка" xfId="3230" builtinId="8"/>
    <cellStyle name="Денежный 2" xfId="691"/>
    <cellStyle name="Денежный 2 2" xfId="692"/>
    <cellStyle name="ефиду" xfId="693"/>
    <cellStyle name="Заголовок 1 2" xfId="694"/>
    <cellStyle name="Заголовок 1 2 2" xfId="695"/>
    <cellStyle name="Заголовок 1 2 3" xfId="696"/>
    <cellStyle name="Заголовок 1 2 4" xfId="697"/>
    <cellStyle name="Заголовок 1 3" xfId="698"/>
    <cellStyle name="Заголовок 1 4" xfId="699"/>
    <cellStyle name="Заголовок 1 5" xfId="700"/>
    <cellStyle name="Заголовок 1 6" xfId="701"/>
    <cellStyle name="Заголовок 2 2" xfId="702"/>
    <cellStyle name="Заголовок 2 2 2" xfId="703"/>
    <cellStyle name="Заголовок 2 2 3" xfId="704"/>
    <cellStyle name="Заголовок 2 2 4" xfId="705"/>
    <cellStyle name="Заголовок 2 3" xfId="706"/>
    <cellStyle name="Заголовок 2 4" xfId="707"/>
    <cellStyle name="Заголовок 2 5" xfId="708"/>
    <cellStyle name="Заголовок 2 6" xfId="709"/>
    <cellStyle name="Заголовок 3 2" xfId="710"/>
    <cellStyle name="Заголовок 3 2 2" xfId="711"/>
    <cellStyle name="Заголовок 3 2 3" xfId="712"/>
    <cellStyle name="Заголовок 3 2 4" xfId="713"/>
    <cellStyle name="Заголовок 3 3" xfId="714"/>
    <cellStyle name="Заголовок 3 4" xfId="715"/>
    <cellStyle name="Заголовок 3 5" xfId="716"/>
    <cellStyle name="Заголовок 3 6" xfId="717"/>
    <cellStyle name="Заголовок 4 2" xfId="718"/>
    <cellStyle name="Заголовок 4 2 2" xfId="719"/>
    <cellStyle name="Заголовок 4 2 3" xfId="720"/>
    <cellStyle name="Заголовок 4 2 4" xfId="721"/>
    <cellStyle name="Заголовок 4 3" xfId="722"/>
    <cellStyle name="Заголовок 4 4" xfId="723"/>
    <cellStyle name="Заголовок 4 5" xfId="724"/>
    <cellStyle name="Заголовок 4 6" xfId="725"/>
    <cellStyle name="зфпуруфвштп" xfId="726"/>
    <cellStyle name="йешеду" xfId="727"/>
    <cellStyle name="Итог 2" xfId="728"/>
    <cellStyle name="Итог 2 2" xfId="729"/>
    <cellStyle name="Итог 2 3" xfId="730"/>
    <cellStyle name="Итог 2 4" xfId="731"/>
    <cellStyle name="Итог 3" xfId="732"/>
    <cellStyle name="Итог 4" xfId="733"/>
    <cellStyle name="Итог 5" xfId="734"/>
    <cellStyle name="Итог 6" xfId="735"/>
    <cellStyle name="Контрольная ячейка 2" xfId="736"/>
    <cellStyle name="Контрольная ячейка 2 2" xfId="737"/>
    <cellStyle name="Контрольная ячейка 2 3" xfId="738"/>
    <cellStyle name="Контрольная ячейка 2 4" xfId="739"/>
    <cellStyle name="Контрольная ячейка 3" xfId="740"/>
    <cellStyle name="Контрольная ячейка 4" xfId="741"/>
    <cellStyle name="Контрольная ячейка 5" xfId="742"/>
    <cellStyle name="Контрольная ячейка 6" xfId="743"/>
    <cellStyle name="Личный" xfId="744"/>
    <cellStyle name="Название 2" xfId="745"/>
    <cellStyle name="Название 2 2" xfId="746"/>
    <cellStyle name="Название 2 3" xfId="747"/>
    <cellStyle name="Название 2 4" xfId="748"/>
    <cellStyle name="Название 3" xfId="749"/>
    <cellStyle name="Название 4" xfId="750"/>
    <cellStyle name="Название 5" xfId="751"/>
    <cellStyle name="Название 6" xfId="752"/>
    <cellStyle name="Нейтральный 2" xfId="753"/>
    <cellStyle name="Нейтральный 2 2" xfId="754"/>
    <cellStyle name="Нейтральный 2 3" xfId="755"/>
    <cellStyle name="Нейтральный 2 4" xfId="756"/>
    <cellStyle name="Нейтральный 3" xfId="757"/>
    <cellStyle name="Нейтральный 4" xfId="758"/>
    <cellStyle name="Нейтральный 5" xfId="759"/>
    <cellStyle name="Нейтральный 6" xfId="760"/>
    <cellStyle name="Ненежный [0]" xfId="761"/>
    <cellStyle name="Обычный" xfId="0" builtinId="0"/>
    <cellStyle name="Обычный 10" xfId="10"/>
    <cellStyle name="Обычный 10 2" xfId="762"/>
    <cellStyle name="Обычный 2" xfId="2"/>
    <cellStyle name="Обычный 2 2" xfId="12"/>
    <cellStyle name="Обычный 2 2 2" xfId="11"/>
    <cellStyle name="Обычный 2 2 2 2" xfId="763"/>
    <cellStyle name="Обычный 2 2 3" xfId="764"/>
    <cellStyle name="Обычный 2 2 4" xfId="765"/>
    <cellStyle name="Обычный 2 3" xfId="766"/>
    <cellStyle name="Обычный 2 3 2" xfId="767"/>
    <cellStyle name="Обычный 2 4" xfId="9"/>
    <cellStyle name="Обычный 2 5" xfId="768"/>
    <cellStyle name="Обычный 2 9" xfId="769"/>
    <cellStyle name="Обычный 3" xfId="4"/>
    <cellStyle name="Обычный 3 2" xfId="771"/>
    <cellStyle name="Обычный 3 2 2" xfId="772"/>
    <cellStyle name="Обычный 3 2 2 2" xfId="773"/>
    <cellStyle name="Обычный 3 2 3" xfId="774"/>
    <cellStyle name="Обычный 3 2 4" xfId="775"/>
    <cellStyle name="Обычный 3 3" xfId="776"/>
    <cellStyle name="Обычный 3 3 2" xfId="777"/>
    <cellStyle name="Обычный 3 4" xfId="778"/>
    <cellStyle name="Обычный 3 5" xfId="779"/>
    <cellStyle name="Обычный 3 5 2" xfId="780"/>
    <cellStyle name="Обычный 3 6" xfId="781"/>
    <cellStyle name="Обычный 3 7" xfId="770"/>
    <cellStyle name="Обычный 4" xfId="7"/>
    <cellStyle name="Обычный 4 2" xfId="782"/>
    <cellStyle name="Обычный 5" xfId="13"/>
    <cellStyle name="Обычный 5 2" xfId="784"/>
    <cellStyle name="Обычный 5 3" xfId="785"/>
    <cellStyle name="Обычный 5 4" xfId="786"/>
    <cellStyle name="Обычный 5 5" xfId="783"/>
    <cellStyle name="Обычный 6" xfId="787"/>
    <cellStyle name="Обычный 7" xfId="788"/>
    <cellStyle name="Обычный 7 2" xfId="789"/>
    <cellStyle name="Обычный 8" xfId="8"/>
    <cellStyle name="Обычный 8 2" xfId="791"/>
    <cellStyle name="Обычный 8 3" xfId="790"/>
    <cellStyle name="Обычный 9" xfId="792"/>
    <cellStyle name="Плохой 2" xfId="793"/>
    <cellStyle name="Плохой 2 2" xfId="794"/>
    <cellStyle name="Плохой 2 3" xfId="795"/>
    <cellStyle name="Плохой 2 4" xfId="796"/>
    <cellStyle name="Плохой 3" xfId="797"/>
    <cellStyle name="Плохой 4" xfId="798"/>
    <cellStyle name="Плохой 5" xfId="799"/>
    <cellStyle name="Плохой 6" xfId="800"/>
    <cellStyle name="Пояснение 2" xfId="801"/>
    <cellStyle name="Пояснение 2 2" xfId="802"/>
    <cellStyle name="Пояснение 2 3" xfId="803"/>
    <cellStyle name="Пояснение 2 4" xfId="804"/>
    <cellStyle name="Пояснение 3" xfId="805"/>
    <cellStyle name="Пояснение 4" xfId="806"/>
    <cellStyle name="Пояснение 5" xfId="807"/>
    <cellStyle name="Пояснение 6" xfId="808"/>
    <cellStyle name="Примечание 10" xfId="809"/>
    <cellStyle name="Примечание 10 2" xfId="810"/>
    <cellStyle name="Примечание 10 2 2" xfId="811"/>
    <cellStyle name="Примечание 10 2 3" xfId="812"/>
    <cellStyle name="Примечание 10 3" xfId="813"/>
    <cellStyle name="Примечание 10 3 2" xfId="814"/>
    <cellStyle name="Примечание 10 3 3" xfId="815"/>
    <cellStyle name="Примечание 10 4" xfId="816"/>
    <cellStyle name="Примечание 10 4 2" xfId="817"/>
    <cellStyle name="Примечание 10 4 3" xfId="818"/>
    <cellStyle name="Примечание 10 5" xfId="819"/>
    <cellStyle name="Примечание 10 6" xfId="820"/>
    <cellStyle name="Примечание 11" xfId="821"/>
    <cellStyle name="Примечание 11 2" xfId="822"/>
    <cellStyle name="Примечание 11 2 2" xfId="823"/>
    <cellStyle name="Примечание 11 2 3" xfId="824"/>
    <cellStyle name="Примечание 11 3" xfId="825"/>
    <cellStyle name="Примечание 11 3 2" xfId="826"/>
    <cellStyle name="Примечание 11 3 3" xfId="827"/>
    <cellStyle name="Примечание 11 4" xfId="828"/>
    <cellStyle name="Примечание 11 4 2" xfId="829"/>
    <cellStyle name="Примечание 11 4 3" xfId="830"/>
    <cellStyle name="Примечание 11 5" xfId="831"/>
    <cellStyle name="Примечание 11 6" xfId="832"/>
    <cellStyle name="Примечание 12" xfId="833"/>
    <cellStyle name="Примечание 12 2" xfId="834"/>
    <cellStyle name="Примечание 12 2 2" xfId="835"/>
    <cellStyle name="Примечание 12 2 2 2" xfId="836"/>
    <cellStyle name="Примечание 12 2 2 3" xfId="837"/>
    <cellStyle name="Примечание 12 2 3" xfId="838"/>
    <cellStyle name="Примечание 12 2 4" xfId="839"/>
    <cellStyle name="Примечание 12 3" xfId="840"/>
    <cellStyle name="Примечание 12 3 2" xfId="841"/>
    <cellStyle name="Примечание 12 3 3" xfId="842"/>
    <cellStyle name="Примечание 12 4" xfId="843"/>
    <cellStyle name="Примечание 12 5" xfId="844"/>
    <cellStyle name="Примечание 13" xfId="845"/>
    <cellStyle name="Примечание 13 2" xfId="846"/>
    <cellStyle name="Примечание 13 2 2" xfId="847"/>
    <cellStyle name="Примечание 13 2 3" xfId="848"/>
    <cellStyle name="Примечание 13 3" xfId="849"/>
    <cellStyle name="Примечание 13 4" xfId="850"/>
    <cellStyle name="Примечание 14" xfId="851"/>
    <cellStyle name="Примечание 15" xfId="852"/>
    <cellStyle name="Примечание 2" xfId="853"/>
    <cellStyle name="Примечание 2 10" xfId="854"/>
    <cellStyle name="Примечание 2 10 10" xfId="855"/>
    <cellStyle name="Примечание 2 10 10 2" xfId="856"/>
    <cellStyle name="Примечание 2 10 10 3" xfId="857"/>
    <cellStyle name="Примечание 2 10 11" xfId="858"/>
    <cellStyle name="Примечание 2 10 12" xfId="859"/>
    <cellStyle name="Примечание 2 10 2" xfId="860"/>
    <cellStyle name="Примечание 2 10 2 2" xfId="861"/>
    <cellStyle name="Примечание 2 10 2 2 2" xfId="862"/>
    <cellStyle name="Примечание 2 10 2 2 2 2" xfId="863"/>
    <cellStyle name="Примечание 2 10 2 2 2 3" xfId="864"/>
    <cellStyle name="Примечание 2 10 2 2 3" xfId="865"/>
    <cellStyle name="Примечание 2 10 2 2 3 2" xfId="866"/>
    <cellStyle name="Примечание 2 10 2 2 3 3" xfId="867"/>
    <cellStyle name="Примечание 2 10 2 2 4" xfId="868"/>
    <cellStyle name="Примечание 2 10 2 2 4 2" xfId="869"/>
    <cellStyle name="Примечание 2 10 2 2 4 3" xfId="870"/>
    <cellStyle name="Примечание 2 10 2 2 5" xfId="871"/>
    <cellStyle name="Примечание 2 10 2 2 6" xfId="872"/>
    <cellStyle name="Примечание 2 10 2 3" xfId="873"/>
    <cellStyle name="Примечание 2 10 2 3 2" xfId="874"/>
    <cellStyle name="Примечание 2 10 2 3 2 2" xfId="875"/>
    <cellStyle name="Примечание 2 10 2 3 2 3" xfId="876"/>
    <cellStyle name="Примечание 2 10 2 3 3" xfId="877"/>
    <cellStyle name="Примечание 2 10 2 3 3 2" xfId="878"/>
    <cellStyle name="Примечание 2 10 2 3 3 3" xfId="879"/>
    <cellStyle name="Примечание 2 10 2 3 4" xfId="880"/>
    <cellStyle name="Примечание 2 10 2 3 4 2" xfId="881"/>
    <cellStyle name="Примечание 2 10 2 3 4 3" xfId="882"/>
    <cellStyle name="Примечание 2 10 2 3 5" xfId="883"/>
    <cellStyle name="Примечание 2 10 2 3 6" xfId="884"/>
    <cellStyle name="Примечание 2 10 2 4" xfId="885"/>
    <cellStyle name="Примечание 2 10 2 4 2" xfId="886"/>
    <cellStyle name="Примечание 2 10 2 4 2 2" xfId="887"/>
    <cellStyle name="Примечание 2 10 2 4 2 3" xfId="888"/>
    <cellStyle name="Примечание 2 10 2 4 3" xfId="889"/>
    <cellStyle name="Примечание 2 10 2 4 3 2" xfId="890"/>
    <cellStyle name="Примечание 2 10 2 4 3 3" xfId="891"/>
    <cellStyle name="Примечание 2 10 2 4 4" xfId="892"/>
    <cellStyle name="Примечание 2 10 2 4 4 2" xfId="893"/>
    <cellStyle name="Примечание 2 10 2 4 4 3" xfId="894"/>
    <cellStyle name="Примечание 2 10 2 4 5" xfId="895"/>
    <cellStyle name="Примечание 2 10 2 4 6" xfId="896"/>
    <cellStyle name="Примечание 2 10 2 5" xfId="897"/>
    <cellStyle name="Примечание 2 10 2 5 2" xfId="898"/>
    <cellStyle name="Примечание 2 10 2 5 3" xfId="899"/>
    <cellStyle name="Примечание 2 10 2 6" xfId="900"/>
    <cellStyle name="Примечание 2 10 2 6 2" xfId="901"/>
    <cellStyle name="Примечание 2 10 2 6 3" xfId="902"/>
    <cellStyle name="Примечание 2 10 2 7" xfId="903"/>
    <cellStyle name="Примечание 2 10 2 7 2" xfId="904"/>
    <cellStyle name="Примечание 2 10 2 7 3" xfId="905"/>
    <cellStyle name="Примечание 2 10 2 8" xfId="906"/>
    <cellStyle name="Примечание 2 10 2 9" xfId="907"/>
    <cellStyle name="Примечание 2 10 3" xfId="908"/>
    <cellStyle name="Примечание 2 10 3 2" xfId="909"/>
    <cellStyle name="Примечание 2 10 3 2 2" xfId="910"/>
    <cellStyle name="Примечание 2 10 3 2 2 2" xfId="911"/>
    <cellStyle name="Примечание 2 10 3 2 2 3" xfId="912"/>
    <cellStyle name="Примечание 2 10 3 2 3" xfId="913"/>
    <cellStyle name="Примечание 2 10 3 2 3 2" xfId="914"/>
    <cellStyle name="Примечание 2 10 3 2 3 3" xfId="915"/>
    <cellStyle name="Примечание 2 10 3 2 4" xfId="916"/>
    <cellStyle name="Примечание 2 10 3 2 4 2" xfId="917"/>
    <cellStyle name="Примечание 2 10 3 2 4 3" xfId="918"/>
    <cellStyle name="Примечание 2 10 3 2 5" xfId="919"/>
    <cellStyle name="Примечание 2 10 3 2 6" xfId="920"/>
    <cellStyle name="Примечание 2 10 3 3" xfId="921"/>
    <cellStyle name="Примечание 2 10 3 3 2" xfId="922"/>
    <cellStyle name="Примечание 2 10 3 3 2 2" xfId="923"/>
    <cellStyle name="Примечание 2 10 3 3 2 3" xfId="924"/>
    <cellStyle name="Примечание 2 10 3 3 3" xfId="925"/>
    <cellStyle name="Примечание 2 10 3 3 3 2" xfId="926"/>
    <cellStyle name="Примечание 2 10 3 3 3 3" xfId="927"/>
    <cellStyle name="Примечание 2 10 3 3 4" xfId="928"/>
    <cellStyle name="Примечание 2 10 3 3 4 2" xfId="929"/>
    <cellStyle name="Примечание 2 10 3 3 4 3" xfId="930"/>
    <cellStyle name="Примечание 2 10 3 3 5" xfId="931"/>
    <cellStyle name="Примечание 2 10 3 3 6" xfId="932"/>
    <cellStyle name="Примечание 2 10 3 4" xfId="933"/>
    <cellStyle name="Примечание 2 10 3 4 2" xfId="934"/>
    <cellStyle name="Примечание 2 10 3 4 2 2" xfId="935"/>
    <cellStyle name="Примечание 2 10 3 4 2 3" xfId="936"/>
    <cellStyle name="Примечание 2 10 3 4 3" xfId="937"/>
    <cellStyle name="Примечание 2 10 3 4 3 2" xfId="938"/>
    <cellStyle name="Примечание 2 10 3 4 3 3" xfId="939"/>
    <cellStyle name="Примечание 2 10 3 4 4" xfId="940"/>
    <cellStyle name="Примечание 2 10 3 4 4 2" xfId="941"/>
    <cellStyle name="Примечание 2 10 3 4 4 3" xfId="942"/>
    <cellStyle name="Примечание 2 10 3 4 5" xfId="943"/>
    <cellStyle name="Примечание 2 10 3 4 6" xfId="944"/>
    <cellStyle name="Примечание 2 10 3 5" xfId="945"/>
    <cellStyle name="Примечание 2 10 3 5 2" xfId="946"/>
    <cellStyle name="Примечание 2 10 3 5 3" xfId="947"/>
    <cellStyle name="Примечание 2 10 3 6" xfId="948"/>
    <cellStyle name="Примечание 2 10 3 6 2" xfId="949"/>
    <cellStyle name="Примечание 2 10 3 6 3" xfId="950"/>
    <cellStyle name="Примечание 2 10 3 7" xfId="951"/>
    <cellStyle name="Примечание 2 10 3 7 2" xfId="952"/>
    <cellStyle name="Примечание 2 10 3 7 3" xfId="953"/>
    <cellStyle name="Примечание 2 10 3 8" xfId="954"/>
    <cellStyle name="Примечание 2 10 3 9" xfId="955"/>
    <cellStyle name="Примечание 2 10 4" xfId="956"/>
    <cellStyle name="Примечание 2 10 4 2" xfId="957"/>
    <cellStyle name="Примечание 2 10 4 2 2" xfId="958"/>
    <cellStyle name="Примечание 2 10 4 2 2 2" xfId="959"/>
    <cellStyle name="Примечание 2 10 4 2 2 3" xfId="960"/>
    <cellStyle name="Примечание 2 10 4 2 3" xfId="961"/>
    <cellStyle name="Примечание 2 10 4 2 3 2" xfId="962"/>
    <cellStyle name="Примечание 2 10 4 2 3 3" xfId="963"/>
    <cellStyle name="Примечание 2 10 4 2 4" xfId="964"/>
    <cellStyle name="Примечание 2 10 4 2 4 2" xfId="965"/>
    <cellStyle name="Примечание 2 10 4 2 4 3" xfId="966"/>
    <cellStyle name="Примечание 2 10 4 2 5" xfId="967"/>
    <cellStyle name="Примечание 2 10 4 2 6" xfId="968"/>
    <cellStyle name="Примечание 2 10 4 3" xfId="969"/>
    <cellStyle name="Примечание 2 10 4 3 2" xfId="970"/>
    <cellStyle name="Примечание 2 10 4 3 2 2" xfId="971"/>
    <cellStyle name="Примечание 2 10 4 3 2 3" xfId="972"/>
    <cellStyle name="Примечание 2 10 4 3 3" xfId="973"/>
    <cellStyle name="Примечание 2 10 4 3 3 2" xfId="974"/>
    <cellStyle name="Примечание 2 10 4 3 3 3" xfId="975"/>
    <cellStyle name="Примечание 2 10 4 3 4" xfId="976"/>
    <cellStyle name="Примечание 2 10 4 3 4 2" xfId="977"/>
    <cellStyle name="Примечание 2 10 4 3 4 3" xfId="978"/>
    <cellStyle name="Примечание 2 10 4 3 5" xfId="979"/>
    <cellStyle name="Примечание 2 10 4 3 6" xfId="980"/>
    <cellStyle name="Примечание 2 10 4 4" xfId="981"/>
    <cellStyle name="Примечание 2 10 4 4 2" xfId="982"/>
    <cellStyle name="Примечание 2 10 4 4 2 2" xfId="983"/>
    <cellStyle name="Примечание 2 10 4 4 2 3" xfId="984"/>
    <cellStyle name="Примечание 2 10 4 4 3" xfId="985"/>
    <cellStyle name="Примечание 2 10 4 4 3 2" xfId="986"/>
    <cellStyle name="Примечание 2 10 4 4 3 3" xfId="987"/>
    <cellStyle name="Примечание 2 10 4 4 4" xfId="988"/>
    <cellStyle name="Примечание 2 10 4 4 4 2" xfId="989"/>
    <cellStyle name="Примечание 2 10 4 4 4 3" xfId="990"/>
    <cellStyle name="Примечание 2 10 4 4 5" xfId="991"/>
    <cellStyle name="Примечание 2 10 4 4 6" xfId="992"/>
    <cellStyle name="Примечание 2 10 4 5" xfId="993"/>
    <cellStyle name="Примечание 2 10 4 5 2" xfId="994"/>
    <cellStyle name="Примечание 2 10 4 5 3" xfId="995"/>
    <cellStyle name="Примечание 2 10 4 6" xfId="996"/>
    <cellStyle name="Примечание 2 10 4 6 2" xfId="997"/>
    <cellStyle name="Примечание 2 10 4 6 3" xfId="998"/>
    <cellStyle name="Примечание 2 10 4 7" xfId="999"/>
    <cellStyle name="Примечание 2 10 4 7 2" xfId="1000"/>
    <cellStyle name="Примечание 2 10 4 7 3" xfId="1001"/>
    <cellStyle name="Примечание 2 10 4 8" xfId="1002"/>
    <cellStyle name="Примечание 2 10 4 9" xfId="1003"/>
    <cellStyle name="Примечание 2 10 5" xfId="1004"/>
    <cellStyle name="Примечание 2 10 5 2" xfId="1005"/>
    <cellStyle name="Примечание 2 10 5 2 2" xfId="1006"/>
    <cellStyle name="Примечание 2 10 5 2 3" xfId="1007"/>
    <cellStyle name="Примечание 2 10 5 3" xfId="1008"/>
    <cellStyle name="Примечание 2 10 5 3 2" xfId="1009"/>
    <cellStyle name="Примечание 2 10 5 3 3" xfId="1010"/>
    <cellStyle name="Примечание 2 10 5 4" xfId="1011"/>
    <cellStyle name="Примечание 2 10 5 4 2" xfId="1012"/>
    <cellStyle name="Примечание 2 10 5 4 3" xfId="1013"/>
    <cellStyle name="Примечание 2 10 5 5" xfId="1014"/>
    <cellStyle name="Примечание 2 10 5 6" xfId="1015"/>
    <cellStyle name="Примечание 2 10 6" xfId="1016"/>
    <cellStyle name="Примечание 2 10 6 2" xfId="1017"/>
    <cellStyle name="Примечание 2 10 6 2 2" xfId="1018"/>
    <cellStyle name="Примечание 2 10 6 2 3" xfId="1019"/>
    <cellStyle name="Примечание 2 10 6 3" xfId="1020"/>
    <cellStyle name="Примечание 2 10 6 3 2" xfId="1021"/>
    <cellStyle name="Примечание 2 10 6 3 3" xfId="1022"/>
    <cellStyle name="Примечание 2 10 6 4" xfId="1023"/>
    <cellStyle name="Примечание 2 10 6 4 2" xfId="1024"/>
    <cellStyle name="Примечание 2 10 6 4 3" xfId="1025"/>
    <cellStyle name="Примечание 2 10 6 5" xfId="1026"/>
    <cellStyle name="Примечание 2 10 6 6" xfId="1027"/>
    <cellStyle name="Примечание 2 10 7" xfId="1028"/>
    <cellStyle name="Примечание 2 10 7 2" xfId="1029"/>
    <cellStyle name="Примечание 2 10 7 2 2" xfId="1030"/>
    <cellStyle name="Примечание 2 10 7 2 3" xfId="1031"/>
    <cellStyle name="Примечание 2 10 7 3" xfId="1032"/>
    <cellStyle name="Примечание 2 10 7 3 2" xfId="1033"/>
    <cellStyle name="Примечание 2 10 7 3 3" xfId="1034"/>
    <cellStyle name="Примечание 2 10 7 4" xfId="1035"/>
    <cellStyle name="Примечание 2 10 7 4 2" xfId="1036"/>
    <cellStyle name="Примечание 2 10 7 4 3" xfId="1037"/>
    <cellStyle name="Примечание 2 10 7 5" xfId="1038"/>
    <cellStyle name="Примечание 2 10 7 6" xfId="1039"/>
    <cellStyle name="Примечание 2 10 8" xfId="1040"/>
    <cellStyle name="Примечание 2 10 8 2" xfId="1041"/>
    <cellStyle name="Примечание 2 10 8 3" xfId="1042"/>
    <cellStyle name="Примечание 2 10 9" xfId="1043"/>
    <cellStyle name="Примечание 2 10 9 2" xfId="1044"/>
    <cellStyle name="Примечание 2 10 9 3" xfId="1045"/>
    <cellStyle name="Примечание 2 11" xfId="1046"/>
    <cellStyle name="Примечание 2 11 2" xfId="1047"/>
    <cellStyle name="Примечание 2 11 2 2" xfId="1048"/>
    <cellStyle name="Примечание 2 11 2 2 2" xfId="1049"/>
    <cellStyle name="Примечание 2 11 2 2 3" xfId="1050"/>
    <cellStyle name="Примечание 2 11 2 3" xfId="1051"/>
    <cellStyle name="Примечание 2 11 2 3 2" xfId="1052"/>
    <cellStyle name="Примечание 2 11 2 3 3" xfId="1053"/>
    <cellStyle name="Примечание 2 11 2 4" xfId="1054"/>
    <cellStyle name="Примечание 2 11 2 4 2" xfId="1055"/>
    <cellStyle name="Примечание 2 11 2 4 3" xfId="1056"/>
    <cellStyle name="Примечание 2 11 2 5" xfId="1057"/>
    <cellStyle name="Примечание 2 11 2 6" xfId="1058"/>
    <cellStyle name="Примечание 2 11 3" xfId="1059"/>
    <cellStyle name="Примечание 2 11 3 2" xfId="1060"/>
    <cellStyle name="Примечание 2 11 3 2 2" xfId="1061"/>
    <cellStyle name="Примечание 2 11 3 2 3" xfId="1062"/>
    <cellStyle name="Примечание 2 11 3 3" xfId="1063"/>
    <cellStyle name="Примечание 2 11 3 3 2" xfId="1064"/>
    <cellStyle name="Примечание 2 11 3 3 3" xfId="1065"/>
    <cellStyle name="Примечание 2 11 3 4" xfId="1066"/>
    <cellStyle name="Примечание 2 11 3 4 2" xfId="1067"/>
    <cellStyle name="Примечание 2 11 3 4 3" xfId="1068"/>
    <cellStyle name="Примечание 2 11 3 5" xfId="1069"/>
    <cellStyle name="Примечание 2 11 3 6" xfId="1070"/>
    <cellStyle name="Примечание 2 11 4" xfId="1071"/>
    <cellStyle name="Примечание 2 11 4 2" xfId="1072"/>
    <cellStyle name="Примечание 2 11 4 2 2" xfId="1073"/>
    <cellStyle name="Примечание 2 11 4 2 3" xfId="1074"/>
    <cellStyle name="Примечание 2 11 4 3" xfId="1075"/>
    <cellStyle name="Примечание 2 11 4 3 2" xfId="1076"/>
    <cellStyle name="Примечание 2 11 4 3 3" xfId="1077"/>
    <cellStyle name="Примечание 2 11 4 4" xfId="1078"/>
    <cellStyle name="Примечание 2 11 4 4 2" xfId="1079"/>
    <cellStyle name="Примечание 2 11 4 4 3" xfId="1080"/>
    <cellStyle name="Примечание 2 11 4 5" xfId="1081"/>
    <cellStyle name="Примечание 2 11 4 6" xfId="1082"/>
    <cellStyle name="Примечание 2 11 5" xfId="1083"/>
    <cellStyle name="Примечание 2 11 5 2" xfId="1084"/>
    <cellStyle name="Примечание 2 11 5 3" xfId="1085"/>
    <cellStyle name="Примечание 2 11 6" xfId="1086"/>
    <cellStyle name="Примечание 2 11 6 2" xfId="1087"/>
    <cellStyle name="Примечание 2 11 6 3" xfId="1088"/>
    <cellStyle name="Примечание 2 11 7" xfId="1089"/>
    <cellStyle name="Примечание 2 11 7 2" xfId="1090"/>
    <cellStyle name="Примечание 2 11 7 3" xfId="1091"/>
    <cellStyle name="Примечание 2 11 8" xfId="1092"/>
    <cellStyle name="Примечание 2 11 9" xfId="1093"/>
    <cellStyle name="Примечание 2 12" xfId="1094"/>
    <cellStyle name="Примечание 2 12 2" xfId="1095"/>
    <cellStyle name="Примечание 2 12 2 2" xfId="1096"/>
    <cellStyle name="Примечание 2 12 2 2 2" xfId="1097"/>
    <cellStyle name="Примечание 2 12 2 2 3" xfId="1098"/>
    <cellStyle name="Примечание 2 12 2 3" xfId="1099"/>
    <cellStyle name="Примечание 2 12 2 3 2" xfId="1100"/>
    <cellStyle name="Примечание 2 12 2 3 3" xfId="1101"/>
    <cellStyle name="Примечание 2 12 2 4" xfId="1102"/>
    <cellStyle name="Примечание 2 12 2 4 2" xfId="1103"/>
    <cellStyle name="Примечание 2 12 2 4 3" xfId="1104"/>
    <cellStyle name="Примечание 2 12 2 5" xfId="1105"/>
    <cellStyle name="Примечание 2 12 2 6" xfId="1106"/>
    <cellStyle name="Примечание 2 12 3" xfId="1107"/>
    <cellStyle name="Примечание 2 12 3 2" xfId="1108"/>
    <cellStyle name="Примечание 2 12 3 2 2" xfId="1109"/>
    <cellStyle name="Примечание 2 12 3 2 3" xfId="1110"/>
    <cellStyle name="Примечание 2 12 3 3" xfId="1111"/>
    <cellStyle name="Примечание 2 12 3 3 2" xfId="1112"/>
    <cellStyle name="Примечание 2 12 3 3 3" xfId="1113"/>
    <cellStyle name="Примечание 2 12 3 4" xfId="1114"/>
    <cellStyle name="Примечание 2 12 3 4 2" xfId="1115"/>
    <cellStyle name="Примечание 2 12 3 4 3" xfId="1116"/>
    <cellStyle name="Примечание 2 12 3 5" xfId="1117"/>
    <cellStyle name="Примечание 2 12 3 6" xfId="1118"/>
    <cellStyle name="Примечание 2 12 4" xfId="1119"/>
    <cellStyle name="Примечание 2 12 4 2" xfId="1120"/>
    <cellStyle name="Примечание 2 12 4 2 2" xfId="1121"/>
    <cellStyle name="Примечание 2 12 4 2 3" xfId="1122"/>
    <cellStyle name="Примечание 2 12 4 3" xfId="1123"/>
    <cellStyle name="Примечание 2 12 4 3 2" xfId="1124"/>
    <cellStyle name="Примечание 2 12 4 3 3" xfId="1125"/>
    <cellStyle name="Примечание 2 12 4 4" xfId="1126"/>
    <cellStyle name="Примечание 2 12 4 4 2" xfId="1127"/>
    <cellStyle name="Примечание 2 12 4 4 3" xfId="1128"/>
    <cellStyle name="Примечание 2 12 4 5" xfId="1129"/>
    <cellStyle name="Примечание 2 12 4 6" xfId="1130"/>
    <cellStyle name="Примечание 2 12 5" xfId="1131"/>
    <cellStyle name="Примечание 2 12 5 2" xfId="1132"/>
    <cellStyle name="Примечание 2 12 5 3" xfId="1133"/>
    <cellStyle name="Примечание 2 12 6" xfId="1134"/>
    <cellStyle name="Примечание 2 12 6 2" xfId="1135"/>
    <cellStyle name="Примечание 2 12 6 3" xfId="1136"/>
    <cellStyle name="Примечание 2 12 7" xfId="1137"/>
    <cellStyle name="Примечание 2 12 7 2" xfId="1138"/>
    <cellStyle name="Примечание 2 12 7 3" xfId="1139"/>
    <cellStyle name="Примечание 2 12 8" xfId="1140"/>
    <cellStyle name="Примечание 2 12 9" xfId="1141"/>
    <cellStyle name="Примечание 2 13" xfId="1142"/>
    <cellStyle name="Примечание 2 13 2" xfId="1143"/>
    <cellStyle name="Примечание 2 13 2 2" xfId="1144"/>
    <cellStyle name="Примечание 2 13 2 2 2" xfId="1145"/>
    <cellStyle name="Примечание 2 13 2 2 3" xfId="1146"/>
    <cellStyle name="Примечание 2 13 2 3" xfId="1147"/>
    <cellStyle name="Примечание 2 13 2 3 2" xfId="1148"/>
    <cellStyle name="Примечание 2 13 2 3 3" xfId="1149"/>
    <cellStyle name="Примечание 2 13 2 4" xfId="1150"/>
    <cellStyle name="Примечание 2 13 2 4 2" xfId="1151"/>
    <cellStyle name="Примечание 2 13 2 4 3" xfId="1152"/>
    <cellStyle name="Примечание 2 13 2 5" xfId="1153"/>
    <cellStyle name="Примечание 2 13 2 6" xfId="1154"/>
    <cellStyle name="Примечание 2 13 3" xfId="1155"/>
    <cellStyle name="Примечание 2 13 3 2" xfId="1156"/>
    <cellStyle name="Примечание 2 13 3 2 2" xfId="1157"/>
    <cellStyle name="Примечание 2 13 3 2 3" xfId="1158"/>
    <cellStyle name="Примечание 2 13 3 3" xfId="1159"/>
    <cellStyle name="Примечание 2 13 3 3 2" xfId="1160"/>
    <cellStyle name="Примечание 2 13 3 3 3" xfId="1161"/>
    <cellStyle name="Примечание 2 13 3 4" xfId="1162"/>
    <cellStyle name="Примечание 2 13 3 4 2" xfId="1163"/>
    <cellStyle name="Примечание 2 13 3 4 3" xfId="1164"/>
    <cellStyle name="Примечание 2 13 3 5" xfId="1165"/>
    <cellStyle name="Примечание 2 13 3 6" xfId="1166"/>
    <cellStyle name="Примечание 2 13 4" xfId="1167"/>
    <cellStyle name="Примечание 2 13 4 2" xfId="1168"/>
    <cellStyle name="Примечание 2 13 4 2 2" xfId="1169"/>
    <cellStyle name="Примечание 2 13 4 2 3" xfId="1170"/>
    <cellStyle name="Примечание 2 13 4 3" xfId="1171"/>
    <cellStyle name="Примечание 2 13 4 3 2" xfId="1172"/>
    <cellStyle name="Примечание 2 13 4 3 3" xfId="1173"/>
    <cellStyle name="Примечание 2 13 4 4" xfId="1174"/>
    <cellStyle name="Примечание 2 13 4 4 2" xfId="1175"/>
    <cellStyle name="Примечание 2 13 4 4 3" xfId="1176"/>
    <cellStyle name="Примечание 2 13 4 5" xfId="1177"/>
    <cellStyle name="Примечание 2 13 4 6" xfId="1178"/>
    <cellStyle name="Примечание 2 13 5" xfId="1179"/>
    <cellStyle name="Примечание 2 13 5 2" xfId="1180"/>
    <cellStyle name="Примечание 2 13 5 3" xfId="1181"/>
    <cellStyle name="Примечание 2 13 6" xfId="1182"/>
    <cellStyle name="Примечание 2 13 6 2" xfId="1183"/>
    <cellStyle name="Примечание 2 13 6 3" xfId="1184"/>
    <cellStyle name="Примечание 2 13 7" xfId="1185"/>
    <cellStyle name="Примечание 2 13 7 2" xfId="1186"/>
    <cellStyle name="Примечание 2 13 7 3" xfId="1187"/>
    <cellStyle name="Примечание 2 13 8" xfId="1188"/>
    <cellStyle name="Примечание 2 13 9" xfId="1189"/>
    <cellStyle name="Примечание 2 14" xfId="1190"/>
    <cellStyle name="Примечание 2 14 2" xfId="1191"/>
    <cellStyle name="Примечание 2 14 2 2" xfId="1192"/>
    <cellStyle name="Примечание 2 14 2 3" xfId="1193"/>
    <cellStyle name="Примечание 2 14 3" xfId="1194"/>
    <cellStyle name="Примечание 2 14 3 2" xfId="1195"/>
    <cellStyle name="Примечание 2 14 3 3" xfId="1196"/>
    <cellStyle name="Примечание 2 14 4" xfId="1197"/>
    <cellStyle name="Примечание 2 14 4 2" xfId="1198"/>
    <cellStyle name="Примечание 2 14 4 3" xfId="1199"/>
    <cellStyle name="Примечание 2 14 5" xfId="1200"/>
    <cellStyle name="Примечание 2 14 6" xfId="1201"/>
    <cellStyle name="Примечание 2 15" xfId="1202"/>
    <cellStyle name="Примечание 2 15 2" xfId="1203"/>
    <cellStyle name="Примечание 2 15 2 2" xfId="1204"/>
    <cellStyle name="Примечание 2 15 2 3" xfId="1205"/>
    <cellStyle name="Примечание 2 15 3" xfId="1206"/>
    <cellStyle name="Примечание 2 15 3 2" xfId="1207"/>
    <cellStyle name="Примечание 2 15 3 3" xfId="1208"/>
    <cellStyle name="Примечание 2 15 4" xfId="1209"/>
    <cellStyle name="Примечание 2 15 4 2" xfId="1210"/>
    <cellStyle name="Примечание 2 15 4 3" xfId="1211"/>
    <cellStyle name="Примечание 2 15 5" xfId="1212"/>
    <cellStyle name="Примечание 2 15 6" xfId="1213"/>
    <cellStyle name="Примечание 2 16" xfId="1214"/>
    <cellStyle name="Примечание 2 16 2" xfId="1215"/>
    <cellStyle name="Примечание 2 16 2 2" xfId="1216"/>
    <cellStyle name="Примечание 2 16 2 3" xfId="1217"/>
    <cellStyle name="Примечание 2 16 3" xfId="1218"/>
    <cellStyle name="Примечание 2 16 3 2" xfId="1219"/>
    <cellStyle name="Примечание 2 16 3 3" xfId="1220"/>
    <cellStyle name="Примечание 2 16 4" xfId="1221"/>
    <cellStyle name="Примечание 2 16 4 2" xfId="1222"/>
    <cellStyle name="Примечание 2 16 4 3" xfId="1223"/>
    <cellStyle name="Примечание 2 16 5" xfId="1224"/>
    <cellStyle name="Примечание 2 16 6" xfId="1225"/>
    <cellStyle name="Примечание 2 17" xfId="1226"/>
    <cellStyle name="Примечание 2 17 2" xfId="1227"/>
    <cellStyle name="Примечание 2 17 3" xfId="1228"/>
    <cellStyle name="Примечание 2 18" xfId="1229"/>
    <cellStyle name="Примечание 2 18 2" xfId="1230"/>
    <cellStyle name="Примечание 2 18 3" xfId="1231"/>
    <cellStyle name="Примечание 2 19" xfId="1232"/>
    <cellStyle name="Примечание 2 19 2" xfId="1233"/>
    <cellStyle name="Примечание 2 19 3" xfId="1234"/>
    <cellStyle name="Примечание 2 2" xfId="1235"/>
    <cellStyle name="Примечание 2 2 2" xfId="1236"/>
    <cellStyle name="Примечание 2 2 2 2" xfId="1237"/>
    <cellStyle name="Примечание 2 2 2 2 2" xfId="1238"/>
    <cellStyle name="Примечание 2 2 2 2 3" xfId="1239"/>
    <cellStyle name="Примечание 2 2 2 3" xfId="1240"/>
    <cellStyle name="Примечание 2 2 2 3 2" xfId="1241"/>
    <cellStyle name="Примечание 2 2 2 3 3" xfId="1242"/>
    <cellStyle name="Примечание 2 2 2 4" xfId="1243"/>
    <cellStyle name="Примечание 2 2 2 4 2" xfId="1244"/>
    <cellStyle name="Примечание 2 2 2 4 3" xfId="1245"/>
    <cellStyle name="Примечание 2 2 2 5" xfId="1246"/>
    <cellStyle name="Примечание 2 2 2 6" xfId="1247"/>
    <cellStyle name="Примечание 2 2 3" xfId="1248"/>
    <cellStyle name="Примечание 2 2 3 2" xfId="1249"/>
    <cellStyle name="Примечание 2 2 3 2 2" xfId="1250"/>
    <cellStyle name="Примечание 2 2 3 2 3" xfId="1251"/>
    <cellStyle name="Примечание 2 2 3 3" xfId="1252"/>
    <cellStyle name="Примечание 2 2 3 3 2" xfId="1253"/>
    <cellStyle name="Примечание 2 2 3 3 3" xfId="1254"/>
    <cellStyle name="Примечание 2 2 3 4" xfId="1255"/>
    <cellStyle name="Примечание 2 2 3 4 2" xfId="1256"/>
    <cellStyle name="Примечание 2 2 3 4 3" xfId="1257"/>
    <cellStyle name="Примечание 2 2 3 5" xfId="1258"/>
    <cellStyle name="Примечание 2 2 3 6" xfId="1259"/>
    <cellStyle name="Примечание 2 2 4" xfId="1260"/>
    <cellStyle name="Примечание 2 2 4 2" xfId="1261"/>
    <cellStyle name="Примечание 2 2 4 2 2" xfId="1262"/>
    <cellStyle name="Примечание 2 2 4 2 3" xfId="1263"/>
    <cellStyle name="Примечание 2 2 4 3" xfId="1264"/>
    <cellStyle name="Примечание 2 2 4 3 2" xfId="1265"/>
    <cellStyle name="Примечание 2 2 4 3 3" xfId="1266"/>
    <cellStyle name="Примечание 2 2 4 4" xfId="1267"/>
    <cellStyle name="Примечание 2 2 4 4 2" xfId="1268"/>
    <cellStyle name="Примечание 2 2 4 4 3" xfId="1269"/>
    <cellStyle name="Примечание 2 2 4 5" xfId="1270"/>
    <cellStyle name="Примечание 2 2 4 6" xfId="1271"/>
    <cellStyle name="Примечание 2 2 5" xfId="1272"/>
    <cellStyle name="Примечание 2 2 5 2" xfId="1273"/>
    <cellStyle name="Примечание 2 2 5 3" xfId="1274"/>
    <cellStyle name="Примечание 2 2 6" xfId="1275"/>
    <cellStyle name="Примечание 2 2 6 2" xfId="1276"/>
    <cellStyle name="Примечание 2 2 6 3" xfId="1277"/>
    <cellStyle name="Примечание 2 2 7" xfId="1278"/>
    <cellStyle name="Примечание 2 2 7 2" xfId="1279"/>
    <cellStyle name="Примечание 2 2 7 3" xfId="1280"/>
    <cellStyle name="Примечание 2 2 8" xfId="1281"/>
    <cellStyle name="Примечание 2 2 9" xfId="1282"/>
    <cellStyle name="Примечание 2 20" xfId="1283"/>
    <cellStyle name="Примечание 2 21" xfId="1284"/>
    <cellStyle name="Примечание 2 3" xfId="1285"/>
    <cellStyle name="Примечание 2 3 2" xfId="1286"/>
    <cellStyle name="Примечание 2 3 2 2" xfId="1287"/>
    <cellStyle name="Примечание 2 3 2 2 2" xfId="1288"/>
    <cellStyle name="Примечание 2 3 2 2 3" xfId="1289"/>
    <cellStyle name="Примечание 2 3 2 3" xfId="1290"/>
    <cellStyle name="Примечание 2 3 2 3 2" xfId="1291"/>
    <cellStyle name="Примечание 2 3 2 3 3" xfId="1292"/>
    <cellStyle name="Примечание 2 3 2 4" xfId="1293"/>
    <cellStyle name="Примечание 2 3 2 4 2" xfId="1294"/>
    <cellStyle name="Примечание 2 3 2 4 3" xfId="1295"/>
    <cellStyle name="Примечание 2 3 2 5" xfId="1296"/>
    <cellStyle name="Примечание 2 3 2 6" xfId="1297"/>
    <cellStyle name="Примечание 2 3 3" xfId="1298"/>
    <cellStyle name="Примечание 2 3 3 2" xfId="1299"/>
    <cellStyle name="Примечание 2 3 3 2 2" xfId="1300"/>
    <cellStyle name="Примечание 2 3 3 2 3" xfId="1301"/>
    <cellStyle name="Примечание 2 3 3 3" xfId="1302"/>
    <cellStyle name="Примечание 2 3 3 3 2" xfId="1303"/>
    <cellStyle name="Примечание 2 3 3 3 3" xfId="1304"/>
    <cellStyle name="Примечание 2 3 3 4" xfId="1305"/>
    <cellStyle name="Примечание 2 3 3 4 2" xfId="1306"/>
    <cellStyle name="Примечание 2 3 3 4 3" xfId="1307"/>
    <cellStyle name="Примечание 2 3 3 5" xfId="1308"/>
    <cellStyle name="Примечание 2 3 3 6" xfId="1309"/>
    <cellStyle name="Примечание 2 3 4" xfId="1310"/>
    <cellStyle name="Примечание 2 3 4 2" xfId="1311"/>
    <cellStyle name="Примечание 2 3 4 2 2" xfId="1312"/>
    <cellStyle name="Примечание 2 3 4 2 3" xfId="1313"/>
    <cellStyle name="Примечание 2 3 4 3" xfId="1314"/>
    <cellStyle name="Примечание 2 3 4 3 2" xfId="1315"/>
    <cellStyle name="Примечание 2 3 4 3 3" xfId="1316"/>
    <cellStyle name="Примечание 2 3 4 4" xfId="1317"/>
    <cellStyle name="Примечание 2 3 4 4 2" xfId="1318"/>
    <cellStyle name="Примечание 2 3 4 4 3" xfId="1319"/>
    <cellStyle name="Примечание 2 3 4 5" xfId="1320"/>
    <cellStyle name="Примечание 2 3 4 6" xfId="1321"/>
    <cellStyle name="Примечание 2 3 5" xfId="1322"/>
    <cellStyle name="Примечание 2 3 5 2" xfId="1323"/>
    <cellStyle name="Примечание 2 3 5 3" xfId="1324"/>
    <cellStyle name="Примечание 2 3 6" xfId="1325"/>
    <cellStyle name="Примечание 2 3 6 2" xfId="1326"/>
    <cellStyle name="Примечание 2 3 6 3" xfId="1327"/>
    <cellStyle name="Примечание 2 3 7" xfId="1328"/>
    <cellStyle name="Примечание 2 3 7 2" xfId="1329"/>
    <cellStyle name="Примечание 2 3 7 3" xfId="1330"/>
    <cellStyle name="Примечание 2 3 8" xfId="1331"/>
    <cellStyle name="Примечание 2 3 9" xfId="1332"/>
    <cellStyle name="Примечание 2 4" xfId="1333"/>
    <cellStyle name="Примечание 2 4 10" xfId="1334"/>
    <cellStyle name="Примечание 2 4 10 2" xfId="1335"/>
    <cellStyle name="Примечание 2 4 10 3" xfId="1336"/>
    <cellStyle name="Примечание 2 4 11" xfId="1337"/>
    <cellStyle name="Примечание 2 4 12" xfId="1338"/>
    <cellStyle name="Примечание 2 4 2" xfId="1339"/>
    <cellStyle name="Примечание 2 4 2 2" xfId="1340"/>
    <cellStyle name="Примечание 2 4 2 2 2" xfId="1341"/>
    <cellStyle name="Примечание 2 4 2 2 2 2" xfId="1342"/>
    <cellStyle name="Примечание 2 4 2 2 2 3" xfId="1343"/>
    <cellStyle name="Примечание 2 4 2 2 3" xfId="1344"/>
    <cellStyle name="Примечание 2 4 2 2 3 2" xfId="1345"/>
    <cellStyle name="Примечание 2 4 2 2 3 3" xfId="1346"/>
    <cellStyle name="Примечание 2 4 2 2 4" xfId="1347"/>
    <cellStyle name="Примечание 2 4 2 2 4 2" xfId="1348"/>
    <cellStyle name="Примечание 2 4 2 2 4 3" xfId="1349"/>
    <cellStyle name="Примечание 2 4 2 2 5" xfId="1350"/>
    <cellStyle name="Примечание 2 4 2 2 6" xfId="1351"/>
    <cellStyle name="Примечание 2 4 2 3" xfId="1352"/>
    <cellStyle name="Примечание 2 4 2 3 2" xfId="1353"/>
    <cellStyle name="Примечание 2 4 2 3 2 2" xfId="1354"/>
    <cellStyle name="Примечание 2 4 2 3 2 3" xfId="1355"/>
    <cellStyle name="Примечание 2 4 2 3 3" xfId="1356"/>
    <cellStyle name="Примечание 2 4 2 3 3 2" xfId="1357"/>
    <cellStyle name="Примечание 2 4 2 3 3 3" xfId="1358"/>
    <cellStyle name="Примечание 2 4 2 3 4" xfId="1359"/>
    <cellStyle name="Примечание 2 4 2 3 4 2" xfId="1360"/>
    <cellStyle name="Примечание 2 4 2 3 4 3" xfId="1361"/>
    <cellStyle name="Примечание 2 4 2 3 5" xfId="1362"/>
    <cellStyle name="Примечание 2 4 2 3 6" xfId="1363"/>
    <cellStyle name="Примечание 2 4 2 4" xfId="1364"/>
    <cellStyle name="Примечание 2 4 2 4 2" xfId="1365"/>
    <cellStyle name="Примечание 2 4 2 4 2 2" xfId="1366"/>
    <cellStyle name="Примечание 2 4 2 4 2 3" xfId="1367"/>
    <cellStyle name="Примечание 2 4 2 4 3" xfId="1368"/>
    <cellStyle name="Примечание 2 4 2 4 3 2" xfId="1369"/>
    <cellStyle name="Примечание 2 4 2 4 3 3" xfId="1370"/>
    <cellStyle name="Примечание 2 4 2 4 4" xfId="1371"/>
    <cellStyle name="Примечание 2 4 2 4 4 2" xfId="1372"/>
    <cellStyle name="Примечание 2 4 2 4 4 3" xfId="1373"/>
    <cellStyle name="Примечание 2 4 2 4 5" xfId="1374"/>
    <cellStyle name="Примечание 2 4 2 4 6" xfId="1375"/>
    <cellStyle name="Примечание 2 4 2 5" xfId="1376"/>
    <cellStyle name="Примечание 2 4 2 5 2" xfId="1377"/>
    <cellStyle name="Примечание 2 4 2 5 3" xfId="1378"/>
    <cellStyle name="Примечание 2 4 2 6" xfId="1379"/>
    <cellStyle name="Примечание 2 4 2 6 2" xfId="1380"/>
    <cellStyle name="Примечание 2 4 2 6 3" xfId="1381"/>
    <cellStyle name="Примечание 2 4 2 7" xfId="1382"/>
    <cellStyle name="Примечание 2 4 2 7 2" xfId="1383"/>
    <cellStyle name="Примечание 2 4 2 7 3" xfId="1384"/>
    <cellStyle name="Примечание 2 4 2 8" xfId="1385"/>
    <cellStyle name="Примечание 2 4 2 9" xfId="1386"/>
    <cellStyle name="Примечание 2 4 3" xfId="1387"/>
    <cellStyle name="Примечание 2 4 3 2" xfId="1388"/>
    <cellStyle name="Примечание 2 4 3 2 2" xfId="1389"/>
    <cellStyle name="Примечание 2 4 3 2 2 2" xfId="1390"/>
    <cellStyle name="Примечание 2 4 3 2 2 3" xfId="1391"/>
    <cellStyle name="Примечание 2 4 3 2 3" xfId="1392"/>
    <cellStyle name="Примечание 2 4 3 2 3 2" xfId="1393"/>
    <cellStyle name="Примечание 2 4 3 2 3 3" xfId="1394"/>
    <cellStyle name="Примечание 2 4 3 2 4" xfId="1395"/>
    <cellStyle name="Примечание 2 4 3 2 4 2" xfId="1396"/>
    <cellStyle name="Примечание 2 4 3 2 4 3" xfId="1397"/>
    <cellStyle name="Примечание 2 4 3 2 5" xfId="1398"/>
    <cellStyle name="Примечание 2 4 3 2 6" xfId="1399"/>
    <cellStyle name="Примечание 2 4 3 3" xfId="1400"/>
    <cellStyle name="Примечание 2 4 3 3 2" xfId="1401"/>
    <cellStyle name="Примечание 2 4 3 3 2 2" xfId="1402"/>
    <cellStyle name="Примечание 2 4 3 3 2 3" xfId="1403"/>
    <cellStyle name="Примечание 2 4 3 3 3" xfId="1404"/>
    <cellStyle name="Примечание 2 4 3 3 3 2" xfId="1405"/>
    <cellStyle name="Примечание 2 4 3 3 3 3" xfId="1406"/>
    <cellStyle name="Примечание 2 4 3 3 4" xfId="1407"/>
    <cellStyle name="Примечание 2 4 3 3 4 2" xfId="1408"/>
    <cellStyle name="Примечание 2 4 3 3 4 3" xfId="1409"/>
    <cellStyle name="Примечание 2 4 3 3 5" xfId="1410"/>
    <cellStyle name="Примечание 2 4 3 3 6" xfId="1411"/>
    <cellStyle name="Примечание 2 4 3 4" xfId="1412"/>
    <cellStyle name="Примечание 2 4 3 4 2" xfId="1413"/>
    <cellStyle name="Примечание 2 4 3 4 2 2" xfId="1414"/>
    <cellStyle name="Примечание 2 4 3 4 2 3" xfId="1415"/>
    <cellStyle name="Примечание 2 4 3 4 3" xfId="1416"/>
    <cellStyle name="Примечание 2 4 3 4 3 2" xfId="1417"/>
    <cellStyle name="Примечание 2 4 3 4 3 3" xfId="1418"/>
    <cellStyle name="Примечание 2 4 3 4 4" xfId="1419"/>
    <cellStyle name="Примечание 2 4 3 4 4 2" xfId="1420"/>
    <cellStyle name="Примечание 2 4 3 4 4 3" xfId="1421"/>
    <cellStyle name="Примечание 2 4 3 4 5" xfId="1422"/>
    <cellStyle name="Примечание 2 4 3 4 6" xfId="1423"/>
    <cellStyle name="Примечание 2 4 3 5" xfId="1424"/>
    <cellStyle name="Примечание 2 4 3 5 2" xfId="1425"/>
    <cellStyle name="Примечание 2 4 3 5 3" xfId="1426"/>
    <cellStyle name="Примечание 2 4 3 6" xfId="1427"/>
    <cellStyle name="Примечание 2 4 3 6 2" xfId="1428"/>
    <cellStyle name="Примечание 2 4 3 6 3" xfId="1429"/>
    <cellStyle name="Примечание 2 4 3 7" xfId="1430"/>
    <cellStyle name="Примечание 2 4 3 7 2" xfId="1431"/>
    <cellStyle name="Примечание 2 4 3 7 3" xfId="1432"/>
    <cellStyle name="Примечание 2 4 3 8" xfId="1433"/>
    <cellStyle name="Примечание 2 4 3 9" xfId="1434"/>
    <cellStyle name="Примечание 2 4 4" xfId="1435"/>
    <cellStyle name="Примечание 2 4 4 2" xfId="1436"/>
    <cellStyle name="Примечание 2 4 4 2 2" xfId="1437"/>
    <cellStyle name="Примечание 2 4 4 2 2 2" xfId="1438"/>
    <cellStyle name="Примечание 2 4 4 2 2 3" xfId="1439"/>
    <cellStyle name="Примечание 2 4 4 2 3" xfId="1440"/>
    <cellStyle name="Примечание 2 4 4 2 3 2" xfId="1441"/>
    <cellStyle name="Примечание 2 4 4 2 3 3" xfId="1442"/>
    <cellStyle name="Примечание 2 4 4 2 4" xfId="1443"/>
    <cellStyle name="Примечание 2 4 4 2 4 2" xfId="1444"/>
    <cellStyle name="Примечание 2 4 4 2 4 3" xfId="1445"/>
    <cellStyle name="Примечание 2 4 4 2 5" xfId="1446"/>
    <cellStyle name="Примечание 2 4 4 2 6" xfId="1447"/>
    <cellStyle name="Примечание 2 4 4 3" xfId="1448"/>
    <cellStyle name="Примечание 2 4 4 3 2" xfId="1449"/>
    <cellStyle name="Примечание 2 4 4 3 2 2" xfId="1450"/>
    <cellStyle name="Примечание 2 4 4 3 2 3" xfId="1451"/>
    <cellStyle name="Примечание 2 4 4 3 3" xfId="1452"/>
    <cellStyle name="Примечание 2 4 4 3 3 2" xfId="1453"/>
    <cellStyle name="Примечание 2 4 4 3 3 3" xfId="1454"/>
    <cellStyle name="Примечание 2 4 4 3 4" xfId="1455"/>
    <cellStyle name="Примечание 2 4 4 3 4 2" xfId="1456"/>
    <cellStyle name="Примечание 2 4 4 3 4 3" xfId="1457"/>
    <cellStyle name="Примечание 2 4 4 3 5" xfId="1458"/>
    <cellStyle name="Примечание 2 4 4 3 6" xfId="1459"/>
    <cellStyle name="Примечание 2 4 4 4" xfId="1460"/>
    <cellStyle name="Примечание 2 4 4 4 2" xfId="1461"/>
    <cellStyle name="Примечание 2 4 4 4 2 2" xfId="1462"/>
    <cellStyle name="Примечание 2 4 4 4 2 3" xfId="1463"/>
    <cellStyle name="Примечание 2 4 4 4 3" xfId="1464"/>
    <cellStyle name="Примечание 2 4 4 4 3 2" xfId="1465"/>
    <cellStyle name="Примечание 2 4 4 4 3 3" xfId="1466"/>
    <cellStyle name="Примечание 2 4 4 4 4" xfId="1467"/>
    <cellStyle name="Примечание 2 4 4 4 4 2" xfId="1468"/>
    <cellStyle name="Примечание 2 4 4 4 4 3" xfId="1469"/>
    <cellStyle name="Примечание 2 4 4 4 5" xfId="1470"/>
    <cellStyle name="Примечание 2 4 4 4 6" xfId="1471"/>
    <cellStyle name="Примечание 2 4 4 5" xfId="1472"/>
    <cellStyle name="Примечание 2 4 4 5 2" xfId="1473"/>
    <cellStyle name="Примечание 2 4 4 5 3" xfId="1474"/>
    <cellStyle name="Примечание 2 4 4 6" xfId="1475"/>
    <cellStyle name="Примечание 2 4 4 6 2" xfId="1476"/>
    <cellStyle name="Примечание 2 4 4 6 3" xfId="1477"/>
    <cellStyle name="Примечание 2 4 4 7" xfId="1478"/>
    <cellStyle name="Примечание 2 4 4 7 2" xfId="1479"/>
    <cellStyle name="Примечание 2 4 4 7 3" xfId="1480"/>
    <cellStyle name="Примечание 2 4 4 8" xfId="1481"/>
    <cellStyle name="Примечание 2 4 4 9" xfId="1482"/>
    <cellStyle name="Примечание 2 4 5" xfId="1483"/>
    <cellStyle name="Примечание 2 4 5 2" xfId="1484"/>
    <cellStyle name="Примечание 2 4 5 2 2" xfId="1485"/>
    <cellStyle name="Примечание 2 4 5 2 3" xfId="1486"/>
    <cellStyle name="Примечание 2 4 5 3" xfId="1487"/>
    <cellStyle name="Примечание 2 4 5 3 2" xfId="1488"/>
    <cellStyle name="Примечание 2 4 5 3 3" xfId="1489"/>
    <cellStyle name="Примечание 2 4 5 4" xfId="1490"/>
    <cellStyle name="Примечание 2 4 5 4 2" xfId="1491"/>
    <cellStyle name="Примечание 2 4 5 4 3" xfId="1492"/>
    <cellStyle name="Примечание 2 4 5 5" xfId="1493"/>
    <cellStyle name="Примечание 2 4 5 6" xfId="1494"/>
    <cellStyle name="Примечание 2 4 6" xfId="1495"/>
    <cellStyle name="Примечание 2 4 6 2" xfId="1496"/>
    <cellStyle name="Примечание 2 4 6 2 2" xfId="1497"/>
    <cellStyle name="Примечание 2 4 6 2 3" xfId="1498"/>
    <cellStyle name="Примечание 2 4 6 3" xfId="1499"/>
    <cellStyle name="Примечание 2 4 6 3 2" xfId="1500"/>
    <cellStyle name="Примечание 2 4 6 3 3" xfId="1501"/>
    <cellStyle name="Примечание 2 4 6 4" xfId="1502"/>
    <cellStyle name="Примечание 2 4 6 4 2" xfId="1503"/>
    <cellStyle name="Примечание 2 4 6 4 3" xfId="1504"/>
    <cellStyle name="Примечание 2 4 6 5" xfId="1505"/>
    <cellStyle name="Примечание 2 4 6 6" xfId="1506"/>
    <cellStyle name="Примечание 2 4 7" xfId="1507"/>
    <cellStyle name="Примечание 2 4 7 2" xfId="1508"/>
    <cellStyle name="Примечание 2 4 7 2 2" xfId="1509"/>
    <cellStyle name="Примечание 2 4 7 2 3" xfId="1510"/>
    <cellStyle name="Примечание 2 4 7 3" xfId="1511"/>
    <cellStyle name="Примечание 2 4 7 3 2" xfId="1512"/>
    <cellStyle name="Примечание 2 4 7 3 3" xfId="1513"/>
    <cellStyle name="Примечание 2 4 7 4" xfId="1514"/>
    <cellStyle name="Примечание 2 4 7 4 2" xfId="1515"/>
    <cellStyle name="Примечание 2 4 7 4 3" xfId="1516"/>
    <cellStyle name="Примечание 2 4 7 5" xfId="1517"/>
    <cellStyle name="Примечание 2 4 7 6" xfId="1518"/>
    <cellStyle name="Примечание 2 4 8" xfId="1519"/>
    <cellStyle name="Примечание 2 4 8 2" xfId="1520"/>
    <cellStyle name="Примечание 2 4 8 3" xfId="1521"/>
    <cellStyle name="Примечание 2 4 9" xfId="1522"/>
    <cellStyle name="Примечание 2 4 9 2" xfId="1523"/>
    <cellStyle name="Примечание 2 4 9 3" xfId="1524"/>
    <cellStyle name="Примечание 2 5" xfId="1525"/>
    <cellStyle name="Примечание 2 5 10" xfId="1526"/>
    <cellStyle name="Примечание 2 5 10 2" xfId="1527"/>
    <cellStyle name="Примечание 2 5 10 3" xfId="1528"/>
    <cellStyle name="Примечание 2 5 11" xfId="1529"/>
    <cellStyle name="Примечание 2 5 12" xfId="1530"/>
    <cellStyle name="Примечание 2 5 2" xfId="1531"/>
    <cellStyle name="Примечание 2 5 2 2" xfId="1532"/>
    <cellStyle name="Примечание 2 5 2 2 2" xfId="1533"/>
    <cellStyle name="Примечание 2 5 2 2 2 2" xfId="1534"/>
    <cellStyle name="Примечание 2 5 2 2 2 3" xfId="1535"/>
    <cellStyle name="Примечание 2 5 2 2 3" xfId="1536"/>
    <cellStyle name="Примечание 2 5 2 2 3 2" xfId="1537"/>
    <cellStyle name="Примечание 2 5 2 2 3 3" xfId="1538"/>
    <cellStyle name="Примечание 2 5 2 2 4" xfId="1539"/>
    <cellStyle name="Примечание 2 5 2 2 4 2" xfId="1540"/>
    <cellStyle name="Примечание 2 5 2 2 4 3" xfId="1541"/>
    <cellStyle name="Примечание 2 5 2 2 5" xfId="1542"/>
    <cellStyle name="Примечание 2 5 2 2 6" xfId="1543"/>
    <cellStyle name="Примечание 2 5 2 3" xfId="1544"/>
    <cellStyle name="Примечание 2 5 2 3 2" xfId="1545"/>
    <cellStyle name="Примечание 2 5 2 3 2 2" xfId="1546"/>
    <cellStyle name="Примечание 2 5 2 3 2 3" xfId="1547"/>
    <cellStyle name="Примечание 2 5 2 3 3" xfId="1548"/>
    <cellStyle name="Примечание 2 5 2 3 3 2" xfId="1549"/>
    <cellStyle name="Примечание 2 5 2 3 3 3" xfId="1550"/>
    <cellStyle name="Примечание 2 5 2 3 4" xfId="1551"/>
    <cellStyle name="Примечание 2 5 2 3 4 2" xfId="1552"/>
    <cellStyle name="Примечание 2 5 2 3 4 3" xfId="1553"/>
    <cellStyle name="Примечание 2 5 2 3 5" xfId="1554"/>
    <cellStyle name="Примечание 2 5 2 3 6" xfId="1555"/>
    <cellStyle name="Примечание 2 5 2 4" xfId="1556"/>
    <cellStyle name="Примечание 2 5 2 4 2" xfId="1557"/>
    <cellStyle name="Примечание 2 5 2 4 2 2" xfId="1558"/>
    <cellStyle name="Примечание 2 5 2 4 2 3" xfId="1559"/>
    <cellStyle name="Примечание 2 5 2 4 3" xfId="1560"/>
    <cellStyle name="Примечание 2 5 2 4 3 2" xfId="1561"/>
    <cellStyle name="Примечание 2 5 2 4 3 3" xfId="1562"/>
    <cellStyle name="Примечание 2 5 2 4 4" xfId="1563"/>
    <cellStyle name="Примечание 2 5 2 4 4 2" xfId="1564"/>
    <cellStyle name="Примечание 2 5 2 4 4 3" xfId="1565"/>
    <cellStyle name="Примечание 2 5 2 4 5" xfId="1566"/>
    <cellStyle name="Примечание 2 5 2 4 6" xfId="1567"/>
    <cellStyle name="Примечание 2 5 2 5" xfId="1568"/>
    <cellStyle name="Примечание 2 5 2 5 2" xfId="1569"/>
    <cellStyle name="Примечание 2 5 2 5 3" xfId="1570"/>
    <cellStyle name="Примечание 2 5 2 6" xfId="1571"/>
    <cellStyle name="Примечание 2 5 2 6 2" xfId="1572"/>
    <cellStyle name="Примечание 2 5 2 6 3" xfId="1573"/>
    <cellStyle name="Примечание 2 5 2 7" xfId="1574"/>
    <cellStyle name="Примечание 2 5 2 7 2" xfId="1575"/>
    <cellStyle name="Примечание 2 5 2 7 3" xfId="1576"/>
    <cellStyle name="Примечание 2 5 2 8" xfId="1577"/>
    <cellStyle name="Примечание 2 5 2 9" xfId="1578"/>
    <cellStyle name="Примечание 2 5 3" xfId="1579"/>
    <cellStyle name="Примечание 2 5 3 2" xfId="1580"/>
    <cellStyle name="Примечание 2 5 3 2 2" xfId="1581"/>
    <cellStyle name="Примечание 2 5 3 2 2 2" xfId="1582"/>
    <cellStyle name="Примечание 2 5 3 2 2 3" xfId="1583"/>
    <cellStyle name="Примечание 2 5 3 2 3" xfId="1584"/>
    <cellStyle name="Примечание 2 5 3 2 3 2" xfId="1585"/>
    <cellStyle name="Примечание 2 5 3 2 3 3" xfId="1586"/>
    <cellStyle name="Примечание 2 5 3 2 4" xfId="1587"/>
    <cellStyle name="Примечание 2 5 3 2 4 2" xfId="1588"/>
    <cellStyle name="Примечание 2 5 3 2 4 3" xfId="1589"/>
    <cellStyle name="Примечание 2 5 3 2 5" xfId="1590"/>
    <cellStyle name="Примечание 2 5 3 2 6" xfId="1591"/>
    <cellStyle name="Примечание 2 5 3 3" xfId="1592"/>
    <cellStyle name="Примечание 2 5 3 3 2" xfId="1593"/>
    <cellStyle name="Примечание 2 5 3 3 2 2" xfId="1594"/>
    <cellStyle name="Примечание 2 5 3 3 2 3" xfId="1595"/>
    <cellStyle name="Примечание 2 5 3 3 3" xfId="1596"/>
    <cellStyle name="Примечание 2 5 3 3 3 2" xfId="1597"/>
    <cellStyle name="Примечание 2 5 3 3 3 3" xfId="1598"/>
    <cellStyle name="Примечание 2 5 3 3 4" xfId="1599"/>
    <cellStyle name="Примечание 2 5 3 3 4 2" xfId="1600"/>
    <cellStyle name="Примечание 2 5 3 3 4 3" xfId="1601"/>
    <cellStyle name="Примечание 2 5 3 3 5" xfId="1602"/>
    <cellStyle name="Примечание 2 5 3 3 6" xfId="1603"/>
    <cellStyle name="Примечание 2 5 3 4" xfId="1604"/>
    <cellStyle name="Примечание 2 5 3 4 2" xfId="1605"/>
    <cellStyle name="Примечание 2 5 3 4 2 2" xfId="1606"/>
    <cellStyle name="Примечание 2 5 3 4 2 3" xfId="1607"/>
    <cellStyle name="Примечание 2 5 3 4 3" xfId="1608"/>
    <cellStyle name="Примечание 2 5 3 4 3 2" xfId="1609"/>
    <cellStyle name="Примечание 2 5 3 4 3 3" xfId="1610"/>
    <cellStyle name="Примечание 2 5 3 4 4" xfId="1611"/>
    <cellStyle name="Примечание 2 5 3 4 4 2" xfId="1612"/>
    <cellStyle name="Примечание 2 5 3 4 4 3" xfId="1613"/>
    <cellStyle name="Примечание 2 5 3 4 5" xfId="1614"/>
    <cellStyle name="Примечание 2 5 3 4 6" xfId="1615"/>
    <cellStyle name="Примечание 2 5 3 5" xfId="1616"/>
    <cellStyle name="Примечание 2 5 3 5 2" xfId="1617"/>
    <cellStyle name="Примечание 2 5 3 5 3" xfId="1618"/>
    <cellStyle name="Примечание 2 5 3 6" xfId="1619"/>
    <cellStyle name="Примечание 2 5 3 6 2" xfId="1620"/>
    <cellStyle name="Примечание 2 5 3 6 3" xfId="1621"/>
    <cellStyle name="Примечание 2 5 3 7" xfId="1622"/>
    <cellStyle name="Примечание 2 5 3 7 2" xfId="1623"/>
    <cellStyle name="Примечание 2 5 3 7 3" xfId="1624"/>
    <cellStyle name="Примечание 2 5 3 8" xfId="1625"/>
    <cellStyle name="Примечание 2 5 3 9" xfId="1626"/>
    <cellStyle name="Примечание 2 5 4" xfId="1627"/>
    <cellStyle name="Примечание 2 5 4 2" xfId="1628"/>
    <cellStyle name="Примечание 2 5 4 2 2" xfId="1629"/>
    <cellStyle name="Примечание 2 5 4 2 2 2" xfId="1630"/>
    <cellStyle name="Примечание 2 5 4 2 2 3" xfId="1631"/>
    <cellStyle name="Примечание 2 5 4 2 3" xfId="1632"/>
    <cellStyle name="Примечание 2 5 4 2 3 2" xfId="1633"/>
    <cellStyle name="Примечание 2 5 4 2 3 3" xfId="1634"/>
    <cellStyle name="Примечание 2 5 4 2 4" xfId="1635"/>
    <cellStyle name="Примечание 2 5 4 2 4 2" xfId="1636"/>
    <cellStyle name="Примечание 2 5 4 2 4 3" xfId="1637"/>
    <cellStyle name="Примечание 2 5 4 2 5" xfId="1638"/>
    <cellStyle name="Примечание 2 5 4 2 6" xfId="1639"/>
    <cellStyle name="Примечание 2 5 4 3" xfId="1640"/>
    <cellStyle name="Примечание 2 5 4 3 2" xfId="1641"/>
    <cellStyle name="Примечание 2 5 4 3 2 2" xfId="1642"/>
    <cellStyle name="Примечание 2 5 4 3 2 3" xfId="1643"/>
    <cellStyle name="Примечание 2 5 4 3 3" xfId="1644"/>
    <cellStyle name="Примечание 2 5 4 3 3 2" xfId="1645"/>
    <cellStyle name="Примечание 2 5 4 3 3 3" xfId="1646"/>
    <cellStyle name="Примечание 2 5 4 3 4" xfId="1647"/>
    <cellStyle name="Примечание 2 5 4 3 4 2" xfId="1648"/>
    <cellStyle name="Примечание 2 5 4 3 4 3" xfId="1649"/>
    <cellStyle name="Примечание 2 5 4 3 5" xfId="1650"/>
    <cellStyle name="Примечание 2 5 4 3 6" xfId="1651"/>
    <cellStyle name="Примечание 2 5 4 4" xfId="1652"/>
    <cellStyle name="Примечание 2 5 4 4 2" xfId="1653"/>
    <cellStyle name="Примечание 2 5 4 4 2 2" xfId="1654"/>
    <cellStyle name="Примечание 2 5 4 4 2 3" xfId="1655"/>
    <cellStyle name="Примечание 2 5 4 4 3" xfId="1656"/>
    <cellStyle name="Примечание 2 5 4 4 3 2" xfId="1657"/>
    <cellStyle name="Примечание 2 5 4 4 3 3" xfId="1658"/>
    <cellStyle name="Примечание 2 5 4 4 4" xfId="1659"/>
    <cellStyle name="Примечание 2 5 4 4 4 2" xfId="1660"/>
    <cellStyle name="Примечание 2 5 4 4 4 3" xfId="1661"/>
    <cellStyle name="Примечание 2 5 4 4 5" xfId="1662"/>
    <cellStyle name="Примечание 2 5 4 4 6" xfId="1663"/>
    <cellStyle name="Примечание 2 5 4 5" xfId="1664"/>
    <cellStyle name="Примечание 2 5 4 5 2" xfId="1665"/>
    <cellStyle name="Примечание 2 5 4 5 3" xfId="1666"/>
    <cellStyle name="Примечание 2 5 4 6" xfId="1667"/>
    <cellStyle name="Примечание 2 5 4 6 2" xfId="1668"/>
    <cellStyle name="Примечание 2 5 4 6 3" xfId="1669"/>
    <cellStyle name="Примечание 2 5 4 7" xfId="1670"/>
    <cellStyle name="Примечание 2 5 4 7 2" xfId="1671"/>
    <cellStyle name="Примечание 2 5 4 7 3" xfId="1672"/>
    <cellStyle name="Примечание 2 5 4 8" xfId="1673"/>
    <cellStyle name="Примечание 2 5 4 9" xfId="1674"/>
    <cellStyle name="Примечание 2 5 5" xfId="1675"/>
    <cellStyle name="Примечание 2 5 5 2" xfId="1676"/>
    <cellStyle name="Примечание 2 5 5 2 2" xfId="1677"/>
    <cellStyle name="Примечание 2 5 5 2 3" xfId="1678"/>
    <cellStyle name="Примечание 2 5 5 3" xfId="1679"/>
    <cellStyle name="Примечание 2 5 5 3 2" xfId="1680"/>
    <cellStyle name="Примечание 2 5 5 3 3" xfId="1681"/>
    <cellStyle name="Примечание 2 5 5 4" xfId="1682"/>
    <cellStyle name="Примечание 2 5 5 4 2" xfId="1683"/>
    <cellStyle name="Примечание 2 5 5 4 3" xfId="1684"/>
    <cellStyle name="Примечание 2 5 5 5" xfId="1685"/>
    <cellStyle name="Примечание 2 5 5 6" xfId="1686"/>
    <cellStyle name="Примечание 2 5 6" xfId="1687"/>
    <cellStyle name="Примечание 2 5 6 2" xfId="1688"/>
    <cellStyle name="Примечание 2 5 6 2 2" xfId="1689"/>
    <cellStyle name="Примечание 2 5 6 2 3" xfId="1690"/>
    <cellStyle name="Примечание 2 5 6 3" xfId="1691"/>
    <cellStyle name="Примечание 2 5 6 3 2" xfId="1692"/>
    <cellStyle name="Примечание 2 5 6 3 3" xfId="1693"/>
    <cellStyle name="Примечание 2 5 6 4" xfId="1694"/>
    <cellStyle name="Примечание 2 5 6 4 2" xfId="1695"/>
    <cellStyle name="Примечание 2 5 6 4 3" xfId="1696"/>
    <cellStyle name="Примечание 2 5 6 5" xfId="1697"/>
    <cellStyle name="Примечание 2 5 6 6" xfId="1698"/>
    <cellStyle name="Примечание 2 5 7" xfId="1699"/>
    <cellStyle name="Примечание 2 5 7 2" xfId="1700"/>
    <cellStyle name="Примечание 2 5 7 2 2" xfId="1701"/>
    <cellStyle name="Примечание 2 5 7 2 3" xfId="1702"/>
    <cellStyle name="Примечание 2 5 7 3" xfId="1703"/>
    <cellStyle name="Примечание 2 5 7 3 2" xfId="1704"/>
    <cellStyle name="Примечание 2 5 7 3 3" xfId="1705"/>
    <cellStyle name="Примечание 2 5 7 4" xfId="1706"/>
    <cellStyle name="Примечание 2 5 7 4 2" xfId="1707"/>
    <cellStyle name="Примечание 2 5 7 4 3" xfId="1708"/>
    <cellStyle name="Примечание 2 5 7 5" xfId="1709"/>
    <cellStyle name="Примечание 2 5 7 6" xfId="1710"/>
    <cellStyle name="Примечание 2 5 8" xfId="1711"/>
    <cellStyle name="Примечание 2 5 8 2" xfId="1712"/>
    <cellStyle name="Примечание 2 5 8 3" xfId="1713"/>
    <cellStyle name="Примечание 2 5 9" xfId="1714"/>
    <cellStyle name="Примечание 2 5 9 2" xfId="1715"/>
    <cellStyle name="Примечание 2 5 9 3" xfId="1716"/>
    <cellStyle name="Примечание 2 6" xfId="1717"/>
    <cellStyle name="Примечание 2 6 10" xfId="1718"/>
    <cellStyle name="Примечание 2 6 10 2" xfId="1719"/>
    <cellStyle name="Примечание 2 6 10 3" xfId="1720"/>
    <cellStyle name="Примечание 2 6 11" xfId="1721"/>
    <cellStyle name="Примечание 2 6 12" xfId="1722"/>
    <cellStyle name="Примечание 2 6 2" xfId="1723"/>
    <cellStyle name="Примечание 2 6 2 2" xfId="1724"/>
    <cellStyle name="Примечание 2 6 2 2 2" xfId="1725"/>
    <cellStyle name="Примечание 2 6 2 2 2 2" xfId="1726"/>
    <cellStyle name="Примечание 2 6 2 2 2 3" xfId="1727"/>
    <cellStyle name="Примечание 2 6 2 2 3" xfId="1728"/>
    <cellStyle name="Примечание 2 6 2 2 3 2" xfId="1729"/>
    <cellStyle name="Примечание 2 6 2 2 3 3" xfId="1730"/>
    <cellStyle name="Примечание 2 6 2 2 4" xfId="1731"/>
    <cellStyle name="Примечание 2 6 2 2 4 2" xfId="1732"/>
    <cellStyle name="Примечание 2 6 2 2 4 3" xfId="1733"/>
    <cellStyle name="Примечание 2 6 2 2 5" xfId="1734"/>
    <cellStyle name="Примечание 2 6 2 2 6" xfId="1735"/>
    <cellStyle name="Примечание 2 6 2 3" xfId="1736"/>
    <cellStyle name="Примечание 2 6 2 3 2" xfId="1737"/>
    <cellStyle name="Примечание 2 6 2 3 2 2" xfId="1738"/>
    <cellStyle name="Примечание 2 6 2 3 2 3" xfId="1739"/>
    <cellStyle name="Примечание 2 6 2 3 3" xfId="1740"/>
    <cellStyle name="Примечание 2 6 2 3 3 2" xfId="1741"/>
    <cellStyle name="Примечание 2 6 2 3 3 3" xfId="1742"/>
    <cellStyle name="Примечание 2 6 2 3 4" xfId="1743"/>
    <cellStyle name="Примечание 2 6 2 3 4 2" xfId="1744"/>
    <cellStyle name="Примечание 2 6 2 3 4 3" xfId="1745"/>
    <cellStyle name="Примечание 2 6 2 3 5" xfId="1746"/>
    <cellStyle name="Примечание 2 6 2 3 6" xfId="1747"/>
    <cellStyle name="Примечание 2 6 2 4" xfId="1748"/>
    <cellStyle name="Примечание 2 6 2 4 2" xfId="1749"/>
    <cellStyle name="Примечание 2 6 2 4 2 2" xfId="1750"/>
    <cellStyle name="Примечание 2 6 2 4 2 3" xfId="1751"/>
    <cellStyle name="Примечание 2 6 2 4 3" xfId="1752"/>
    <cellStyle name="Примечание 2 6 2 4 3 2" xfId="1753"/>
    <cellStyle name="Примечание 2 6 2 4 3 3" xfId="1754"/>
    <cellStyle name="Примечание 2 6 2 4 4" xfId="1755"/>
    <cellStyle name="Примечание 2 6 2 4 4 2" xfId="1756"/>
    <cellStyle name="Примечание 2 6 2 4 4 3" xfId="1757"/>
    <cellStyle name="Примечание 2 6 2 4 5" xfId="1758"/>
    <cellStyle name="Примечание 2 6 2 4 6" xfId="1759"/>
    <cellStyle name="Примечание 2 6 2 5" xfId="1760"/>
    <cellStyle name="Примечание 2 6 2 5 2" xfId="1761"/>
    <cellStyle name="Примечание 2 6 2 5 3" xfId="1762"/>
    <cellStyle name="Примечание 2 6 2 6" xfId="1763"/>
    <cellStyle name="Примечание 2 6 2 6 2" xfId="1764"/>
    <cellStyle name="Примечание 2 6 2 6 3" xfId="1765"/>
    <cellStyle name="Примечание 2 6 2 7" xfId="1766"/>
    <cellStyle name="Примечание 2 6 2 7 2" xfId="1767"/>
    <cellStyle name="Примечание 2 6 2 7 3" xfId="1768"/>
    <cellStyle name="Примечание 2 6 2 8" xfId="1769"/>
    <cellStyle name="Примечание 2 6 2 9" xfId="1770"/>
    <cellStyle name="Примечание 2 6 3" xfId="1771"/>
    <cellStyle name="Примечание 2 6 3 2" xfId="1772"/>
    <cellStyle name="Примечание 2 6 3 2 2" xfId="1773"/>
    <cellStyle name="Примечание 2 6 3 2 2 2" xfId="1774"/>
    <cellStyle name="Примечание 2 6 3 2 2 3" xfId="1775"/>
    <cellStyle name="Примечание 2 6 3 2 3" xfId="1776"/>
    <cellStyle name="Примечание 2 6 3 2 3 2" xfId="1777"/>
    <cellStyle name="Примечание 2 6 3 2 3 3" xfId="1778"/>
    <cellStyle name="Примечание 2 6 3 2 4" xfId="1779"/>
    <cellStyle name="Примечание 2 6 3 2 4 2" xfId="1780"/>
    <cellStyle name="Примечание 2 6 3 2 4 3" xfId="1781"/>
    <cellStyle name="Примечание 2 6 3 2 5" xfId="1782"/>
    <cellStyle name="Примечание 2 6 3 2 6" xfId="1783"/>
    <cellStyle name="Примечание 2 6 3 3" xfId="1784"/>
    <cellStyle name="Примечание 2 6 3 3 2" xfId="1785"/>
    <cellStyle name="Примечание 2 6 3 3 2 2" xfId="1786"/>
    <cellStyle name="Примечание 2 6 3 3 2 3" xfId="1787"/>
    <cellStyle name="Примечание 2 6 3 3 3" xfId="1788"/>
    <cellStyle name="Примечание 2 6 3 3 3 2" xfId="1789"/>
    <cellStyle name="Примечание 2 6 3 3 3 3" xfId="1790"/>
    <cellStyle name="Примечание 2 6 3 3 4" xfId="1791"/>
    <cellStyle name="Примечание 2 6 3 3 4 2" xfId="1792"/>
    <cellStyle name="Примечание 2 6 3 3 4 3" xfId="1793"/>
    <cellStyle name="Примечание 2 6 3 3 5" xfId="1794"/>
    <cellStyle name="Примечание 2 6 3 3 6" xfId="1795"/>
    <cellStyle name="Примечание 2 6 3 4" xfId="1796"/>
    <cellStyle name="Примечание 2 6 3 4 2" xfId="1797"/>
    <cellStyle name="Примечание 2 6 3 4 2 2" xfId="1798"/>
    <cellStyle name="Примечание 2 6 3 4 2 3" xfId="1799"/>
    <cellStyle name="Примечание 2 6 3 4 3" xfId="1800"/>
    <cellStyle name="Примечание 2 6 3 4 3 2" xfId="1801"/>
    <cellStyle name="Примечание 2 6 3 4 3 3" xfId="1802"/>
    <cellStyle name="Примечание 2 6 3 4 4" xfId="1803"/>
    <cellStyle name="Примечание 2 6 3 4 4 2" xfId="1804"/>
    <cellStyle name="Примечание 2 6 3 4 4 3" xfId="1805"/>
    <cellStyle name="Примечание 2 6 3 4 5" xfId="1806"/>
    <cellStyle name="Примечание 2 6 3 4 6" xfId="1807"/>
    <cellStyle name="Примечание 2 6 3 5" xfId="1808"/>
    <cellStyle name="Примечание 2 6 3 5 2" xfId="1809"/>
    <cellStyle name="Примечание 2 6 3 5 3" xfId="1810"/>
    <cellStyle name="Примечание 2 6 3 6" xfId="1811"/>
    <cellStyle name="Примечание 2 6 3 6 2" xfId="1812"/>
    <cellStyle name="Примечание 2 6 3 6 3" xfId="1813"/>
    <cellStyle name="Примечание 2 6 3 7" xfId="1814"/>
    <cellStyle name="Примечание 2 6 3 7 2" xfId="1815"/>
    <cellStyle name="Примечание 2 6 3 7 3" xfId="1816"/>
    <cellStyle name="Примечание 2 6 3 8" xfId="1817"/>
    <cellStyle name="Примечание 2 6 3 9" xfId="1818"/>
    <cellStyle name="Примечание 2 6 4" xfId="1819"/>
    <cellStyle name="Примечание 2 6 4 2" xfId="1820"/>
    <cellStyle name="Примечание 2 6 4 2 2" xfId="1821"/>
    <cellStyle name="Примечание 2 6 4 2 2 2" xfId="1822"/>
    <cellStyle name="Примечание 2 6 4 2 2 3" xfId="1823"/>
    <cellStyle name="Примечание 2 6 4 2 3" xfId="1824"/>
    <cellStyle name="Примечание 2 6 4 2 3 2" xfId="1825"/>
    <cellStyle name="Примечание 2 6 4 2 3 3" xfId="1826"/>
    <cellStyle name="Примечание 2 6 4 2 4" xfId="1827"/>
    <cellStyle name="Примечание 2 6 4 2 4 2" xfId="1828"/>
    <cellStyle name="Примечание 2 6 4 2 4 3" xfId="1829"/>
    <cellStyle name="Примечание 2 6 4 2 5" xfId="1830"/>
    <cellStyle name="Примечание 2 6 4 2 6" xfId="1831"/>
    <cellStyle name="Примечание 2 6 4 3" xfId="1832"/>
    <cellStyle name="Примечание 2 6 4 3 2" xfId="1833"/>
    <cellStyle name="Примечание 2 6 4 3 2 2" xfId="1834"/>
    <cellStyle name="Примечание 2 6 4 3 2 3" xfId="1835"/>
    <cellStyle name="Примечание 2 6 4 3 3" xfId="1836"/>
    <cellStyle name="Примечание 2 6 4 3 3 2" xfId="1837"/>
    <cellStyle name="Примечание 2 6 4 3 3 3" xfId="1838"/>
    <cellStyle name="Примечание 2 6 4 3 4" xfId="1839"/>
    <cellStyle name="Примечание 2 6 4 3 4 2" xfId="1840"/>
    <cellStyle name="Примечание 2 6 4 3 4 3" xfId="1841"/>
    <cellStyle name="Примечание 2 6 4 3 5" xfId="1842"/>
    <cellStyle name="Примечание 2 6 4 3 6" xfId="1843"/>
    <cellStyle name="Примечание 2 6 4 4" xfId="1844"/>
    <cellStyle name="Примечание 2 6 4 4 2" xfId="1845"/>
    <cellStyle name="Примечание 2 6 4 4 2 2" xfId="1846"/>
    <cellStyle name="Примечание 2 6 4 4 2 3" xfId="1847"/>
    <cellStyle name="Примечание 2 6 4 4 3" xfId="1848"/>
    <cellStyle name="Примечание 2 6 4 4 3 2" xfId="1849"/>
    <cellStyle name="Примечание 2 6 4 4 3 3" xfId="1850"/>
    <cellStyle name="Примечание 2 6 4 4 4" xfId="1851"/>
    <cellStyle name="Примечание 2 6 4 4 4 2" xfId="1852"/>
    <cellStyle name="Примечание 2 6 4 4 4 3" xfId="1853"/>
    <cellStyle name="Примечание 2 6 4 4 5" xfId="1854"/>
    <cellStyle name="Примечание 2 6 4 4 6" xfId="1855"/>
    <cellStyle name="Примечание 2 6 4 5" xfId="1856"/>
    <cellStyle name="Примечание 2 6 4 5 2" xfId="1857"/>
    <cellStyle name="Примечание 2 6 4 5 3" xfId="1858"/>
    <cellStyle name="Примечание 2 6 4 6" xfId="1859"/>
    <cellStyle name="Примечание 2 6 4 6 2" xfId="1860"/>
    <cellStyle name="Примечание 2 6 4 6 3" xfId="1861"/>
    <cellStyle name="Примечание 2 6 4 7" xfId="1862"/>
    <cellStyle name="Примечание 2 6 4 7 2" xfId="1863"/>
    <cellStyle name="Примечание 2 6 4 7 3" xfId="1864"/>
    <cellStyle name="Примечание 2 6 4 8" xfId="1865"/>
    <cellStyle name="Примечание 2 6 4 9" xfId="1866"/>
    <cellStyle name="Примечание 2 6 5" xfId="1867"/>
    <cellStyle name="Примечание 2 6 5 2" xfId="1868"/>
    <cellStyle name="Примечание 2 6 5 2 2" xfId="1869"/>
    <cellStyle name="Примечание 2 6 5 2 3" xfId="1870"/>
    <cellStyle name="Примечание 2 6 5 3" xfId="1871"/>
    <cellStyle name="Примечание 2 6 5 3 2" xfId="1872"/>
    <cellStyle name="Примечание 2 6 5 3 3" xfId="1873"/>
    <cellStyle name="Примечание 2 6 5 4" xfId="1874"/>
    <cellStyle name="Примечание 2 6 5 4 2" xfId="1875"/>
    <cellStyle name="Примечание 2 6 5 4 3" xfId="1876"/>
    <cellStyle name="Примечание 2 6 5 5" xfId="1877"/>
    <cellStyle name="Примечание 2 6 5 6" xfId="1878"/>
    <cellStyle name="Примечание 2 6 6" xfId="1879"/>
    <cellStyle name="Примечание 2 6 6 2" xfId="1880"/>
    <cellStyle name="Примечание 2 6 6 2 2" xfId="1881"/>
    <cellStyle name="Примечание 2 6 6 2 3" xfId="1882"/>
    <cellStyle name="Примечание 2 6 6 3" xfId="1883"/>
    <cellStyle name="Примечание 2 6 6 3 2" xfId="1884"/>
    <cellStyle name="Примечание 2 6 6 3 3" xfId="1885"/>
    <cellStyle name="Примечание 2 6 6 4" xfId="1886"/>
    <cellStyle name="Примечание 2 6 6 4 2" xfId="1887"/>
    <cellStyle name="Примечание 2 6 6 4 3" xfId="1888"/>
    <cellStyle name="Примечание 2 6 6 5" xfId="1889"/>
    <cellStyle name="Примечание 2 6 6 6" xfId="1890"/>
    <cellStyle name="Примечание 2 6 7" xfId="1891"/>
    <cellStyle name="Примечание 2 6 7 2" xfId="1892"/>
    <cellStyle name="Примечание 2 6 7 2 2" xfId="1893"/>
    <cellStyle name="Примечание 2 6 7 2 3" xfId="1894"/>
    <cellStyle name="Примечание 2 6 7 3" xfId="1895"/>
    <cellStyle name="Примечание 2 6 7 3 2" xfId="1896"/>
    <cellStyle name="Примечание 2 6 7 3 3" xfId="1897"/>
    <cellStyle name="Примечание 2 6 7 4" xfId="1898"/>
    <cellStyle name="Примечание 2 6 7 4 2" xfId="1899"/>
    <cellStyle name="Примечание 2 6 7 4 3" xfId="1900"/>
    <cellStyle name="Примечание 2 6 7 5" xfId="1901"/>
    <cellStyle name="Примечание 2 6 7 6" xfId="1902"/>
    <cellStyle name="Примечание 2 6 8" xfId="1903"/>
    <cellStyle name="Примечание 2 6 8 2" xfId="1904"/>
    <cellStyle name="Примечание 2 6 8 3" xfId="1905"/>
    <cellStyle name="Примечание 2 6 9" xfId="1906"/>
    <cellStyle name="Примечание 2 6 9 2" xfId="1907"/>
    <cellStyle name="Примечание 2 6 9 3" xfId="1908"/>
    <cellStyle name="Примечание 2 7" xfId="1909"/>
    <cellStyle name="Примечание 2 7 10" xfId="1910"/>
    <cellStyle name="Примечание 2 7 10 2" xfId="1911"/>
    <cellStyle name="Примечание 2 7 10 3" xfId="1912"/>
    <cellStyle name="Примечание 2 7 11" xfId="1913"/>
    <cellStyle name="Примечание 2 7 12" xfId="1914"/>
    <cellStyle name="Примечание 2 7 2" xfId="1915"/>
    <cellStyle name="Примечание 2 7 2 2" xfId="1916"/>
    <cellStyle name="Примечание 2 7 2 2 2" xfId="1917"/>
    <cellStyle name="Примечание 2 7 2 2 2 2" xfId="1918"/>
    <cellStyle name="Примечание 2 7 2 2 2 3" xfId="1919"/>
    <cellStyle name="Примечание 2 7 2 2 3" xfId="1920"/>
    <cellStyle name="Примечание 2 7 2 2 3 2" xfId="1921"/>
    <cellStyle name="Примечание 2 7 2 2 3 3" xfId="1922"/>
    <cellStyle name="Примечание 2 7 2 2 4" xfId="1923"/>
    <cellStyle name="Примечание 2 7 2 2 4 2" xfId="1924"/>
    <cellStyle name="Примечание 2 7 2 2 4 3" xfId="1925"/>
    <cellStyle name="Примечание 2 7 2 2 5" xfId="1926"/>
    <cellStyle name="Примечание 2 7 2 2 6" xfId="1927"/>
    <cellStyle name="Примечание 2 7 2 3" xfId="1928"/>
    <cellStyle name="Примечание 2 7 2 3 2" xfId="1929"/>
    <cellStyle name="Примечание 2 7 2 3 2 2" xfId="1930"/>
    <cellStyle name="Примечание 2 7 2 3 2 3" xfId="1931"/>
    <cellStyle name="Примечание 2 7 2 3 3" xfId="1932"/>
    <cellStyle name="Примечание 2 7 2 3 3 2" xfId="1933"/>
    <cellStyle name="Примечание 2 7 2 3 3 3" xfId="1934"/>
    <cellStyle name="Примечание 2 7 2 3 4" xfId="1935"/>
    <cellStyle name="Примечание 2 7 2 3 4 2" xfId="1936"/>
    <cellStyle name="Примечание 2 7 2 3 4 3" xfId="1937"/>
    <cellStyle name="Примечание 2 7 2 3 5" xfId="1938"/>
    <cellStyle name="Примечание 2 7 2 3 6" xfId="1939"/>
    <cellStyle name="Примечание 2 7 2 4" xfId="1940"/>
    <cellStyle name="Примечание 2 7 2 4 2" xfId="1941"/>
    <cellStyle name="Примечание 2 7 2 4 2 2" xfId="1942"/>
    <cellStyle name="Примечание 2 7 2 4 2 3" xfId="1943"/>
    <cellStyle name="Примечание 2 7 2 4 3" xfId="1944"/>
    <cellStyle name="Примечание 2 7 2 4 3 2" xfId="1945"/>
    <cellStyle name="Примечание 2 7 2 4 3 3" xfId="1946"/>
    <cellStyle name="Примечание 2 7 2 4 4" xfId="1947"/>
    <cellStyle name="Примечание 2 7 2 4 4 2" xfId="1948"/>
    <cellStyle name="Примечание 2 7 2 4 4 3" xfId="1949"/>
    <cellStyle name="Примечание 2 7 2 4 5" xfId="1950"/>
    <cellStyle name="Примечание 2 7 2 4 6" xfId="1951"/>
    <cellStyle name="Примечание 2 7 2 5" xfId="1952"/>
    <cellStyle name="Примечание 2 7 2 5 2" xfId="1953"/>
    <cellStyle name="Примечание 2 7 2 5 3" xfId="1954"/>
    <cellStyle name="Примечание 2 7 2 6" xfId="1955"/>
    <cellStyle name="Примечание 2 7 2 6 2" xfId="1956"/>
    <cellStyle name="Примечание 2 7 2 6 3" xfId="1957"/>
    <cellStyle name="Примечание 2 7 2 7" xfId="1958"/>
    <cellStyle name="Примечание 2 7 2 7 2" xfId="1959"/>
    <cellStyle name="Примечание 2 7 2 7 3" xfId="1960"/>
    <cellStyle name="Примечание 2 7 2 8" xfId="1961"/>
    <cellStyle name="Примечание 2 7 2 9" xfId="1962"/>
    <cellStyle name="Примечание 2 7 3" xfId="1963"/>
    <cellStyle name="Примечание 2 7 3 2" xfId="1964"/>
    <cellStyle name="Примечание 2 7 3 2 2" xfId="1965"/>
    <cellStyle name="Примечание 2 7 3 2 2 2" xfId="1966"/>
    <cellStyle name="Примечание 2 7 3 2 2 3" xfId="1967"/>
    <cellStyle name="Примечание 2 7 3 2 3" xfId="1968"/>
    <cellStyle name="Примечание 2 7 3 2 3 2" xfId="1969"/>
    <cellStyle name="Примечание 2 7 3 2 3 3" xfId="1970"/>
    <cellStyle name="Примечание 2 7 3 2 4" xfId="1971"/>
    <cellStyle name="Примечание 2 7 3 2 4 2" xfId="1972"/>
    <cellStyle name="Примечание 2 7 3 2 4 3" xfId="1973"/>
    <cellStyle name="Примечание 2 7 3 2 5" xfId="1974"/>
    <cellStyle name="Примечание 2 7 3 2 6" xfId="1975"/>
    <cellStyle name="Примечание 2 7 3 3" xfId="1976"/>
    <cellStyle name="Примечание 2 7 3 3 2" xfId="1977"/>
    <cellStyle name="Примечание 2 7 3 3 2 2" xfId="1978"/>
    <cellStyle name="Примечание 2 7 3 3 2 3" xfId="1979"/>
    <cellStyle name="Примечание 2 7 3 3 3" xfId="1980"/>
    <cellStyle name="Примечание 2 7 3 3 3 2" xfId="1981"/>
    <cellStyle name="Примечание 2 7 3 3 3 3" xfId="1982"/>
    <cellStyle name="Примечание 2 7 3 3 4" xfId="1983"/>
    <cellStyle name="Примечание 2 7 3 3 4 2" xfId="1984"/>
    <cellStyle name="Примечание 2 7 3 3 4 3" xfId="1985"/>
    <cellStyle name="Примечание 2 7 3 3 5" xfId="1986"/>
    <cellStyle name="Примечание 2 7 3 3 6" xfId="1987"/>
    <cellStyle name="Примечание 2 7 3 4" xfId="1988"/>
    <cellStyle name="Примечание 2 7 3 4 2" xfId="1989"/>
    <cellStyle name="Примечание 2 7 3 4 2 2" xfId="1990"/>
    <cellStyle name="Примечание 2 7 3 4 2 3" xfId="1991"/>
    <cellStyle name="Примечание 2 7 3 4 3" xfId="1992"/>
    <cellStyle name="Примечание 2 7 3 4 3 2" xfId="1993"/>
    <cellStyle name="Примечание 2 7 3 4 3 3" xfId="1994"/>
    <cellStyle name="Примечание 2 7 3 4 4" xfId="1995"/>
    <cellStyle name="Примечание 2 7 3 4 4 2" xfId="1996"/>
    <cellStyle name="Примечание 2 7 3 4 4 3" xfId="1997"/>
    <cellStyle name="Примечание 2 7 3 4 5" xfId="1998"/>
    <cellStyle name="Примечание 2 7 3 4 6" xfId="1999"/>
    <cellStyle name="Примечание 2 7 3 5" xfId="2000"/>
    <cellStyle name="Примечание 2 7 3 5 2" xfId="2001"/>
    <cellStyle name="Примечание 2 7 3 5 3" xfId="2002"/>
    <cellStyle name="Примечание 2 7 3 6" xfId="2003"/>
    <cellStyle name="Примечание 2 7 3 6 2" xfId="2004"/>
    <cellStyle name="Примечание 2 7 3 6 3" xfId="2005"/>
    <cellStyle name="Примечание 2 7 3 7" xfId="2006"/>
    <cellStyle name="Примечание 2 7 3 7 2" xfId="2007"/>
    <cellStyle name="Примечание 2 7 3 7 3" xfId="2008"/>
    <cellStyle name="Примечание 2 7 3 8" xfId="2009"/>
    <cellStyle name="Примечание 2 7 3 9" xfId="2010"/>
    <cellStyle name="Примечание 2 7 4" xfId="2011"/>
    <cellStyle name="Примечание 2 7 4 2" xfId="2012"/>
    <cellStyle name="Примечание 2 7 4 2 2" xfId="2013"/>
    <cellStyle name="Примечание 2 7 4 2 2 2" xfId="2014"/>
    <cellStyle name="Примечание 2 7 4 2 2 3" xfId="2015"/>
    <cellStyle name="Примечание 2 7 4 2 3" xfId="2016"/>
    <cellStyle name="Примечание 2 7 4 2 3 2" xfId="2017"/>
    <cellStyle name="Примечание 2 7 4 2 3 3" xfId="2018"/>
    <cellStyle name="Примечание 2 7 4 2 4" xfId="2019"/>
    <cellStyle name="Примечание 2 7 4 2 4 2" xfId="2020"/>
    <cellStyle name="Примечание 2 7 4 2 4 3" xfId="2021"/>
    <cellStyle name="Примечание 2 7 4 2 5" xfId="2022"/>
    <cellStyle name="Примечание 2 7 4 2 6" xfId="2023"/>
    <cellStyle name="Примечание 2 7 4 3" xfId="2024"/>
    <cellStyle name="Примечание 2 7 4 3 2" xfId="2025"/>
    <cellStyle name="Примечание 2 7 4 3 2 2" xfId="2026"/>
    <cellStyle name="Примечание 2 7 4 3 2 3" xfId="2027"/>
    <cellStyle name="Примечание 2 7 4 3 3" xfId="2028"/>
    <cellStyle name="Примечание 2 7 4 3 3 2" xfId="2029"/>
    <cellStyle name="Примечание 2 7 4 3 3 3" xfId="2030"/>
    <cellStyle name="Примечание 2 7 4 3 4" xfId="2031"/>
    <cellStyle name="Примечание 2 7 4 3 4 2" xfId="2032"/>
    <cellStyle name="Примечание 2 7 4 3 4 3" xfId="2033"/>
    <cellStyle name="Примечание 2 7 4 3 5" xfId="2034"/>
    <cellStyle name="Примечание 2 7 4 3 6" xfId="2035"/>
    <cellStyle name="Примечание 2 7 4 4" xfId="2036"/>
    <cellStyle name="Примечание 2 7 4 4 2" xfId="2037"/>
    <cellStyle name="Примечание 2 7 4 4 2 2" xfId="2038"/>
    <cellStyle name="Примечание 2 7 4 4 2 3" xfId="2039"/>
    <cellStyle name="Примечание 2 7 4 4 3" xfId="2040"/>
    <cellStyle name="Примечание 2 7 4 4 3 2" xfId="2041"/>
    <cellStyle name="Примечание 2 7 4 4 3 3" xfId="2042"/>
    <cellStyle name="Примечание 2 7 4 4 4" xfId="2043"/>
    <cellStyle name="Примечание 2 7 4 4 4 2" xfId="2044"/>
    <cellStyle name="Примечание 2 7 4 4 4 3" xfId="2045"/>
    <cellStyle name="Примечание 2 7 4 4 5" xfId="2046"/>
    <cellStyle name="Примечание 2 7 4 4 6" xfId="2047"/>
    <cellStyle name="Примечание 2 7 4 5" xfId="2048"/>
    <cellStyle name="Примечание 2 7 4 5 2" xfId="2049"/>
    <cellStyle name="Примечание 2 7 4 5 3" xfId="2050"/>
    <cellStyle name="Примечание 2 7 4 6" xfId="2051"/>
    <cellStyle name="Примечание 2 7 4 6 2" xfId="2052"/>
    <cellStyle name="Примечание 2 7 4 6 3" xfId="2053"/>
    <cellStyle name="Примечание 2 7 4 7" xfId="2054"/>
    <cellStyle name="Примечание 2 7 4 7 2" xfId="2055"/>
    <cellStyle name="Примечание 2 7 4 7 3" xfId="2056"/>
    <cellStyle name="Примечание 2 7 4 8" xfId="2057"/>
    <cellStyle name="Примечание 2 7 4 9" xfId="2058"/>
    <cellStyle name="Примечание 2 7 5" xfId="2059"/>
    <cellStyle name="Примечание 2 7 5 2" xfId="2060"/>
    <cellStyle name="Примечание 2 7 5 2 2" xfId="2061"/>
    <cellStyle name="Примечание 2 7 5 2 3" xfId="2062"/>
    <cellStyle name="Примечание 2 7 5 3" xfId="2063"/>
    <cellStyle name="Примечание 2 7 5 3 2" xfId="2064"/>
    <cellStyle name="Примечание 2 7 5 3 3" xfId="2065"/>
    <cellStyle name="Примечание 2 7 5 4" xfId="2066"/>
    <cellStyle name="Примечание 2 7 5 4 2" xfId="2067"/>
    <cellStyle name="Примечание 2 7 5 4 3" xfId="2068"/>
    <cellStyle name="Примечание 2 7 5 5" xfId="2069"/>
    <cellStyle name="Примечание 2 7 5 6" xfId="2070"/>
    <cellStyle name="Примечание 2 7 6" xfId="2071"/>
    <cellStyle name="Примечание 2 7 6 2" xfId="2072"/>
    <cellStyle name="Примечание 2 7 6 2 2" xfId="2073"/>
    <cellStyle name="Примечание 2 7 6 2 3" xfId="2074"/>
    <cellStyle name="Примечание 2 7 6 3" xfId="2075"/>
    <cellStyle name="Примечание 2 7 6 3 2" xfId="2076"/>
    <cellStyle name="Примечание 2 7 6 3 3" xfId="2077"/>
    <cellStyle name="Примечание 2 7 6 4" xfId="2078"/>
    <cellStyle name="Примечание 2 7 6 4 2" xfId="2079"/>
    <cellStyle name="Примечание 2 7 6 4 3" xfId="2080"/>
    <cellStyle name="Примечание 2 7 6 5" xfId="2081"/>
    <cellStyle name="Примечание 2 7 6 6" xfId="2082"/>
    <cellStyle name="Примечание 2 7 7" xfId="2083"/>
    <cellStyle name="Примечание 2 7 7 2" xfId="2084"/>
    <cellStyle name="Примечание 2 7 7 2 2" xfId="2085"/>
    <cellStyle name="Примечание 2 7 7 2 3" xfId="2086"/>
    <cellStyle name="Примечание 2 7 7 3" xfId="2087"/>
    <cellStyle name="Примечание 2 7 7 3 2" xfId="2088"/>
    <cellStyle name="Примечание 2 7 7 3 3" xfId="2089"/>
    <cellStyle name="Примечание 2 7 7 4" xfId="2090"/>
    <cellStyle name="Примечание 2 7 7 4 2" xfId="2091"/>
    <cellStyle name="Примечание 2 7 7 4 3" xfId="2092"/>
    <cellStyle name="Примечание 2 7 7 5" xfId="2093"/>
    <cellStyle name="Примечание 2 7 7 6" xfId="2094"/>
    <cellStyle name="Примечание 2 7 8" xfId="2095"/>
    <cellStyle name="Примечание 2 7 8 2" xfId="2096"/>
    <cellStyle name="Примечание 2 7 8 3" xfId="2097"/>
    <cellStyle name="Примечание 2 7 9" xfId="2098"/>
    <cellStyle name="Примечание 2 7 9 2" xfId="2099"/>
    <cellStyle name="Примечание 2 7 9 3" xfId="2100"/>
    <cellStyle name="Примечание 2 8" xfId="2101"/>
    <cellStyle name="Примечание 2 8 10" xfId="2102"/>
    <cellStyle name="Примечание 2 8 10 2" xfId="2103"/>
    <cellStyle name="Примечание 2 8 10 3" xfId="2104"/>
    <cellStyle name="Примечание 2 8 11" xfId="2105"/>
    <cellStyle name="Примечание 2 8 12" xfId="2106"/>
    <cellStyle name="Примечание 2 8 2" xfId="2107"/>
    <cellStyle name="Примечание 2 8 2 2" xfId="2108"/>
    <cellStyle name="Примечание 2 8 2 2 2" xfId="2109"/>
    <cellStyle name="Примечание 2 8 2 2 2 2" xfId="2110"/>
    <cellStyle name="Примечание 2 8 2 2 2 3" xfId="2111"/>
    <cellStyle name="Примечание 2 8 2 2 3" xfId="2112"/>
    <cellStyle name="Примечание 2 8 2 2 3 2" xfId="2113"/>
    <cellStyle name="Примечание 2 8 2 2 3 3" xfId="2114"/>
    <cellStyle name="Примечание 2 8 2 2 4" xfId="2115"/>
    <cellStyle name="Примечание 2 8 2 2 4 2" xfId="2116"/>
    <cellStyle name="Примечание 2 8 2 2 4 3" xfId="2117"/>
    <cellStyle name="Примечание 2 8 2 2 5" xfId="2118"/>
    <cellStyle name="Примечание 2 8 2 2 6" xfId="2119"/>
    <cellStyle name="Примечание 2 8 2 3" xfId="2120"/>
    <cellStyle name="Примечание 2 8 2 3 2" xfId="2121"/>
    <cellStyle name="Примечание 2 8 2 3 2 2" xfId="2122"/>
    <cellStyle name="Примечание 2 8 2 3 2 3" xfId="2123"/>
    <cellStyle name="Примечание 2 8 2 3 3" xfId="2124"/>
    <cellStyle name="Примечание 2 8 2 3 3 2" xfId="2125"/>
    <cellStyle name="Примечание 2 8 2 3 3 3" xfId="2126"/>
    <cellStyle name="Примечание 2 8 2 3 4" xfId="2127"/>
    <cellStyle name="Примечание 2 8 2 3 4 2" xfId="2128"/>
    <cellStyle name="Примечание 2 8 2 3 4 3" xfId="2129"/>
    <cellStyle name="Примечание 2 8 2 3 5" xfId="2130"/>
    <cellStyle name="Примечание 2 8 2 3 6" xfId="2131"/>
    <cellStyle name="Примечание 2 8 2 4" xfId="2132"/>
    <cellStyle name="Примечание 2 8 2 4 2" xfId="2133"/>
    <cellStyle name="Примечание 2 8 2 4 2 2" xfId="2134"/>
    <cellStyle name="Примечание 2 8 2 4 2 3" xfId="2135"/>
    <cellStyle name="Примечание 2 8 2 4 3" xfId="2136"/>
    <cellStyle name="Примечание 2 8 2 4 3 2" xfId="2137"/>
    <cellStyle name="Примечание 2 8 2 4 3 3" xfId="2138"/>
    <cellStyle name="Примечание 2 8 2 4 4" xfId="2139"/>
    <cellStyle name="Примечание 2 8 2 4 4 2" xfId="2140"/>
    <cellStyle name="Примечание 2 8 2 4 4 3" xfId="2141"/>
    <cellStyle name="Примечание 2 8 2 4 5" xfId="2142"/>
    <cellStyle name="Примечание 2 8 2 4 6" xfId="2143"/>
    <cellStyle name="Примечание 2 8 2 5" xfId="2144"/>
    <cellStyle name="Примечание 2 8 2 5 2" xfId="2145"/>
    <cellStyle name="Примечание 2 8 2 5 3" xfId="2146"/>
    <cellStyle name="Примечание 2 8 2 6" xfId="2147"/>
    <cellStyle name="Примечание 2 8 2 6 2" xfId="2148"/>
    <cellStyle name="Примечание 2 8 2 6 3" xfId="2149"/>
    <cellStyle name="Примечание 2 8 2 7" xfId="2150"/>
    <cellStyle name="Примечание 2 8 2 7 2" xfId="2151"/>
    <cellStyle name="Примечание 2 8 2 7 3" xfId="2152"/>
    <cellStyle name="Примечание 2 8 2 8" xfId="2153"/>
    <cellStyle name="Примечание 2 8 2 9" xfId="2154"/>
    <cellStyle name="Примечание 2 8 3" xfId="2155"/>
    <cellStyle name="Примечание 2 8 3 2" xfId="2156"/>
    <cellStyle name="Примечание 2 8 3 2 2" xfId="2157"/>
    <cellStyle name="Примечание 2 8 3 2 2 2" xfId="2158"/>
    <cellStyle name="Примечание 2 8 3 2 2 3" xfId="2159"/>
    <cellStyle name="Примечание 2 8 3 2 3" xfId="2160"/>
    <cellStyle name="Примечание 2 8 3 2 3 2" xfId="2161"/>
    <cellStyle name="Примечание 2 8 3 2 3 3" xfId="2162"/>
    <cellStyle name="Примечание 2 8 3 2 4" xfId="2163"/>
    <cellStyle name="Примечание 2 8 3 2 4 2" xfId="2164"/>
    <cellStyle name="Примечание 2 8 3 2 4 3" xfId="2165"/>
    <cellStyle name="Примечание 2 8 3 2 5" xfId="2166"/>
    <cellStyle name="Примечание 2 8 3 2 6" xfId="2167"/>
    <cellStyle name="Примечание 2 8 3 3" xfId="2168"/>
    <cellStyle name="Примечание 2 8 3 3 2" xfId="2169"/>
    <cellStyle name="Примечание 2 8 3 3 2 2" xfId="2170"/>
    <cellStyle name="Примечание 2 8 3 3 2 3" xfId="2171"/>
    <cellStyle name="Примечание 2 8 3 3 3" xfId="2172"/>
    <cellStyle name="Примечание 2 8 3 3 3 2" xfId="2173"/>
    <cellStyle name="Примечание 2 8 3 3 3 3" xfId="2174"/>
    <cellStyle name="Примечание 2 8 3 3 4" xfId="2175"/>
    <cellStyle name="Примечание 2 8 3 3 4 2" xfId="2176"/>
    <cellStyle name="Примечание 2 8 3 3 4 3" xfId="2177"/>
    <cellStyle name="Примечание 2 8 3 3 5" xfId="2178"/>
    <cellStyle name="Примечание 2 8 3 3 6" xfId="2179"/>
    <cellStyle name="Примечание 2 8 3 4" xfId="2180"/>
    <cellStyle name="Примечание 2 8 3 4 2" xfId="2181"/>
    <cellStyle name="Примечание 2 8 3 4 2 2" xfId="2182"/>
    <cellStyle name="Примечание 2 8 3 4 2 3" xfId="2183"/>
    <cellStyle name="Примечание 2 8 3 4 3" xfId="2184"/>
    <cellStyle name="Примечание 2 8 3 4 3 2" xfId="2185"/>
    <cellStyle name="Примечание 2 8 3 4 3 3" xfId="2186"/>
    <cellStyle name="Примечание 2 8 3 4 4" xfId="2187"/>
    <cellStyle name="Примечание 2 8 3 4 4 2" xfId="2188"/>
    <cellStyle name="Примечание 2 8 3 4 4 3" xfId="2189"/>
    <cellStyle name="Примечание 2 8 3 4 5" xfId="2190"/>
    <cellStyle name="Примечание 2 8 3 4 6" xfId="2191"/>
    <cellStyle name="Примечание 2 8 3 5" xfId="2192"/>
    <cellStyle name="Примечание 2 8 3 5 2" xfId="2193"/>
    <cellStyle name="Примечание 2 8 3 5 3" xfId="2194"/>
    <cellStyle name="Примечание 2 8 3 6" xfId="2195"/>
    <cellStyle name="Примечание 2 8 3 6 2" xfId="2196"/>
    <cellStyle name="Примечание 2 8 3 6 3" xfId="2197"/>
    <cellStyle name="Примечание 2 8 3 7" xfId="2198"/>
    <cellStyle name="Примечание 2 8 3 7 2" xfId="2199"/>
    <cellStyle name="Примечание 2 8 3 7 3" xfId="2200"/>
    <cellStyle name="Примечание 2 8 3 8" xfId="2201"/>
    <cellStyle name="Примечание 2 8 3 9" xfId="2202"/>
    <cellStyle name="Примечание 2 8 4" xfId="2203"/>
    <cellStyle name="Примечание 2 8 4 2" xfId="2204"/>
    <cellStyle name="Примечание 2 8 4 2 2" xfId="2205"/>
    <cellStyle name="Примечание 2 8 4 2 2 2" xfId="2206"/>
    <cellStyle name="Примечание 2 8 4 2 2 3" xfId="2207"/>
    <cellStyle name="Примечание 2 8 4 2 3" xfId="2208"/>
    <cellStyle name="Примечание 2 8 4 2 3 2" xfId="2209"/>
    <cellStyle name="Примечание 2 8 4 2 3 3" xfId="2210"/>
    <cellStyle name="Примечание 2 8 4 2 4" xfId="2211"/>
    <cellStyle name="Примечание 2 8 4 2 4 2" xfId="2212"/>
    <cellStyle name="Примечание 2 8 4 2 4 3" xfId="2213"/>
    <cellStyle name="Примечание 2 8 4 2 5" xfId="2214"/>
    <cellStyle name="Примечание 2 8 4 2 6" xfId="2215"/>
    <cellStyle name="Примечание 2 8 4 3" xfId="2216"/>
    <cellStyle name="Примечание 2 8 4 3 2" xfId="2217"/>
    <cellStyle name="Примечание 2 8 4 3 2 2" xfId="2218"/>
    <cellStyle name="Примечание 2 8 4 3 2 3" xfId="2219"/>
    <cellStyle name="Примечание 2 8 4 3 3" xfId="2220"/>
    <cellStyle name="Примечание 2 8 4 3 3 2" xfId="2221"/>
    <cellStyle name="Примечание 2 8 4 3 3 3" xfId="2222"/>
    <cellStyle name="Примечание 2 8 4 3 4" xfId="2223"/>
    <cellStyle name="Примечание 2 8 4 3 4 2" xfId="2224"/>
    <cellStyle name="Примечание 2 8 4 3 4 3" xfId="2225"/>
    <cellStyle name="Примечание 2 8 4 3 5" xfId="2226"/>
    <cellStyle name="Примечание 2 8 4 3 6" xfId="2227"/>
    <cellStyle name="Примечание 2 8 4 4" xfId="2228"/>
    <cellStyle name="Примечание 2 8 4 4 2" xfId="2229"/>
    <cellStyle name="Примечание 2 8 4 4 2 2" xfId="2230"/>
    <cellStyle name="Примечание 2 8 4 4 2 3" xfId="2231"/>
    <cellStyle name="Примечание 2 8 4 4 3" xfId="2232"/>
    <cellStyle name="Примечание 2 8 4 4 3 2" xfId="2233"/>
    <cellStyle name="Примечание 2 8 4 4 3 3" xfId="2234"/>
    <cellStyle name="Примечание 2 8 4 4 4" xfId="2235"/>
    <cellStyle name="Примечание 2 8 4 4 4 2" xfId="2236"/>
    <cellStyle name="Примечание 2 8 4 4 4 3" xfId="2237"/>
    <cellStyle name="Примечание 2 8 4 4 5" xfId="2238"/>
    <cellStyle name="Примечание 2 8 4 4 6" xfId="2239"/>
    <cellStyle name="Примечание 2 8 4 5" xfId="2240"/>
    <cellStyle name="Примечание 2 8 4 5 2" xfId="2241"/>
    <cellStyle name="Примечание 2 8 4 5 3" xfId="2242"/>
    <cellStyle name="Примечание 2 8 4 6" xfId="2243"/>
    <cellStyle name="Примечание 2 8 4 6 2" xfId="2244"/>
    <cellStyle name="Примечание 2 8 4 6 3" xfId="2245"/>
    <cellStyle name="Примечание 2 8 4 7" xfId="2246"/>
    <cellStyle name="Примечание 2 8 4 7 2" xfId="2247"/>
    <cellStyle name="Примечание 2 8 4 7 3" xfId="2248"/>
    <cellStyle name="Примечание 2 8 4 8" xfId="2249"/>
    <cellStyle name="Примечание 2 8 4 9" xfId="2250"/>
    <cellStyle name="Примечание 2 8 5" xfId="2251"/>
    <cellStyle name="Примечание 2 8 5 2" xfId="2252"/>
    <cellStyle name="Примечание 2 8 5 2 2" xfId="2253"/>
    <cellStyle name="Примечание 2 8 5 2 3" xfId="2254"/>
    <cellStyle name="Примечание 2 8 5 3" xfId="2255"/>
    <cellStyle name="Примечание 2 8 5 3 2" xfId="2256"/>
    <cellStyle name="Примечание 2 8 5 3 3" xfId="2257"/>
    <cellStyle name="Примечание 2 8 5 4" xfId="2258"/>
    <cellStyle name="Примечание 2 8 5 4 2" xfId="2259"/>
    <cellStyle name="Примечание 2 8 5 4 3" xfId="2260"/>
    <cellStyle name="Примечание 2 8 5 5" xfId="2261"/>
    <cellStyle name="Примечание 2 8 5 6" xfId="2262"/>
    <cellStyle name="Примечание 2 8 6" xfId="2263"/>
    <cellStyle name="Примечание 2 8 6 2" xfId="2264"/>
    <cellStyle name="Примечание 2 8 6 2 2" xfId="2265"/>
    <cellStyle name="Примечание 2 8 6 2 3" xfId="2266"/>
    <cellStyle name="Примечание 2 8 6 3" xfId="2267"/>
    <cellStyle name="Примечание 2 8 6 3 2" xfId="2268"/>
    <cellStyle name="Примечание 2 8 6 3 3" xfId="2269"/>
    <cellStyle name="Примечание 2 8 6 4" xfId="2270"/>
    <cellStyle name="Примечание 2 8 6 4 2" xfId="2271"/>
    <cellStyle name="Примечание 2 8 6 4 3" xfId="2272"/>
    <cellStyle name="Примечание 2 8 6 5" xfId="2273"/>
    <cellStyle name="Примечание 2 8 6 6" xfId="2274"/>
    <cellStyle name="Примечание 2 8 7" xfId="2275"/>
    <cellStyle name="Примечание 2 8 7 2" xfId="2276"/>
    <cellStyle name="Примечание 2 8 7 2 2" xfId="2277"/>
    <cellStyle name="Примечание 2 8 7 2 3" xfId="2278"/>
    <cellStyle name="Примечание 2 8 7 3" xfId="2279"/>
    <cellStyle name="Примечание 2 8 7 3 2" xfId="2280"/>
    <cellStyle name="Примечание 2 8 7 3 3" xfId="2281"/>
    <cellStyle name="Примечание 2 8 7 4" xfId="2282"/>
    <cellStyle name="Примечание 2 8 7 4 2" xfId="2283"/>
    <cellStyle name="Примечание 2 8 7 4 3" xfId="2284"/>
    <cellStyle name="Примечание 2 8 7 5" xfId="2285"/>
    <cellStyle name="Примечание 2 8 7 6" xfId="2286"/>
    <cellStyle name="Примечание 2 8 8" xfId="2287"/>
    <cellStyle name="Примечание 2 8 8 2" xfId="2288"/>
    <cellStyle name="Примечание 2 8 8 3" xfId="2289"/>
    <cellStyle name="Примечание 2 8 9" xfId="2290"/>
    <cellStyle name="Примечание 2 8 9 2" xfId="2291"/>
    <cellStyle name="Примечание 2 8 9 3" xfId="2292"/>
    <cellStyle name="Примечание 2 9" xfId="2293"/>
    <cellStyle name="Примечание 2 9 10" xfId="2294"/>
    <cellStyle name="Примечание 2 9 10 2" xfId="2295"/>
    <cellStyle name="Примечание 2 9 10 3" xfId="2296"/>
    <cellStyle name="Примечание 2 9 11" xfId="2297"/>
    <cellStyle name="Примечание 2 9 12" xfId="2298"/>
    <cellStyle name="Примечание 2 9 2" xfId="2299"/>
    <cellStyle name="Примечание 2 9 2 2" xfId="2300"/>
    <cellStyle name="Примечание 2 9 2 2 2" xfId="2301"/>
    <cellStyle name="Примечание 2 9 2 2 2 2" xfId="2302"/>
    <cellStyle name="Примечание 2 9 2 2 2 3" xfId="2303"/>
    <cellStyle name="Примечание 2 9 2 2 3" xfId="2304"/>
    <cellStyle name="Примечание 2 9 2 2 3 2" xfId="2305"/>
    <cellStyle name="Примечание 2 9 2 2 3 3" xfId="2306"/>
    <cellStyle name="Примечание 2 9 2 2 4" xfId="2307"/>
    <cellStyle name="Примечание 2 9 2 2 4 2" xfId="2308"/>
    <cellStyle name="Примечание 2 9 2 2 4 3" xfId="2309"/>
    <cellStyle name="Примечание 2 9 2 2 5" xfId="2310"/>
    <cellStyle name="Примечание 2 9 2 2 6" xfId="2311"/>
    <cellStyle name="Примечание 2 9 2 3" xfId="2312"/>
    <cellStyle name="Примечание 2 9 2 3 2" xfId="2313"/>
    <cellStyle name="Примечание 2 9 2 3 2 2" xfId="2314"/>
    <cellStyle name="Примечание 2 9 2 3 2 3" xfId="2315"/>
    <cellStyle name="Примечание 2 9 2 3 3" xfId="2316"/>
    <cellStyle name="Примечание 2 9 2 3 3 2" xfId="2317"/>
    <cellStyle name="Примечание 2 9 2 3 3 3" xfId="2318"/>
    <cellStyle name="Примечание 2 9 2 3 4" xfId="2319"/>
    <cellStyle name="Примечание 2 9 2 3 4 2" xfId="2320"/>
    <cellStyle name="Примечание 2 9 2 3 4 3" xfId="2321"/>
    <cellStyle name="Примечание 2 9 2 3 5" xfId="2322"/>
    <cellStyle name="Примечание 2 9 2 3 6" xfId="2323"/>
    <cellStyle name="Примечание 2 9 2 4" xfId="2324"/>
    <cellStyle name="Примечание 2 9 2 4 2" xfId="2325"/>
    <cellStyle name="Примечание 2 9 2 4 2 2" xfId="2326"/>
    <cellStyle name="Примечание 2 9 2 4 2 3" xfId="2327"/>
    <cellStyle name="Примечание 2 9 2 4 3" xfId="2328"/>
    <cellStyle name="Примечание 2 9 2 4 3 2" xfId="2329"/>
    <cellStyle name="Примечание 2 9 2 4 3 3" xfId="2330"/>
    <cellStyle name="Примечание 2 9 2 4 4" xfId="2331"/>
    <cellStyle name="Примечание 2 9 2 4 4 2" xfId="2332"/>
    <cellStyle name="Примечание 2 9 2 4 4 3" xfId="2333"/>
    <cellStyle name="Примечание 2 9 2 4 5" xfId="2334"/>
    <cellStyle name="Примечание 2 9 2 4 6" xfId="2335"/>
    <cellStyle name="Примечание 2 9 2 5" xfId="2336"/>
    <cellStyle name="Примечание 2 9 2 5 2" xfId="2337"/>
    <cellStyle name="Примечание 2 9 2 5 3" xfId="2338"/>
    <cellStyle name="Примечание 2 9 2 6" xfId="2339"/>
    <cellStyle name="Примечание 2 9 2 6 2" xfId="2340"/>
    <cellStyle name="Примечание 2 9 2 6 3" xfId="2341"/>
    <cellStyle name="Примечание 2 9 2 7" xfId="2342"/>
    <cellStyle name="Примечание 2 9 2 7 2" xfId="2343"/>
    <cellStyle name="Примечание 2 9 2 7 3" xfId="2344"/>
    <cellStyle name="Примечание 2 9 2 8" xfId="2345"/>
    <cellStyle name="Примечание 2 9 2 9" xfId="2346"/>
    <cellStyle name="Примечание 2 9 3" xfId="2347"/>
    <cellStyle name="Примечание 2 9 3 2" xfId="2348"/>
    <cellStyle name="Примечание 2 9 3 2 2" xfId="2349"/>
    <cellStyle name="Примечание 2 9 3 2 2 2" xfId="2350"/>
    <cellStyle name="Примечание 2 9 3 2 2 3" xfId="2351"/>
    <cellStyle name="Примечание 2 9 3 2 3" xfId="2352"/>
    <cellStyle name="Примечание 2 9 3 2 3 2" xfId="2353"/>
    <cellStyle name="Примечание 2 9 3 2 3 3" xfId="2354"/>
    <cellStyle name="Примечание 2 9 3 2 4" xfId="2355"/>
    <cellStyle name="Примечание 2 9 3 2 4 2" xfId="2356"/>
    <cellStyle name="Примечание 2 9 3 2 4 3" xfId="2357"/>
    <cellStyle name="Примечание 2 9 3 2 5" xfId="2358"/>
    <cellStyle name="Примечание 2 9 3 2 6" xfId="2359"/>
    <cellStyle name="Примечание 2 9 3 3" xfId="2360"/>
    <cellStyle name="Примечание 2 9 3 3 2" xfId="2361"/>
    <cellStyle name="Примечание 2 9 3 3 2 2" xfId="2362"/>
    <cellStyle name="Примечание 2 9 3 3 2 3" xfId="2363"/>
    <cellStyle name="Примечание 2 9 3 3 3" xfId="2364"/>
    <cellStyle name="Примечание 2 9 3 3 3 2" xfId="2365"/>
    <cellStyle name="Примечание 2 9 3 3 3 3" xfId="2366"/>
    <cellStyle name="Примечание 2 9 3 3 4" xfId="2367"/>
    <cellStyle name="Примечание 2 9 3 3 4 2" xfId="2368"/>
    <cellStyle name="Примечание 2 9 3 3 4 3" xfId="2369"/>
    <cellStyle name="Примечание 2 9 3 3 5" xfId="2370"/>
    <cellStyle name="Примечание 2 9 3 3 6" xfId="2371"/>
    <cellStyle name="Примечание 2 9 3 4" xfId="2372"/>
    <cellStyle name="Примечание 2 9 3 4 2" xfId="2373"/>
    <cellStyle name="Примечание 2 9 3 4 2 2" xfId="2374"/>
    <cellStyle name="Примечание 2 9 3 4 2 3" xfId="2375"/>
    <cellStyle name="Примечание 2 9 3 4 3" xfId="2376"/>
    <cellStyle name="Примечание 2 9 3 4 3 2" xfId="2377"/>
    <cellStyle name="Примечание 2 9 3 4 3 3" xfId="2378"/>
    <cellStyle name="Примечание 2 9 3 4 4" xfId="2379"/>
    <cellStyle name="Примечание 2 9 3 4 4 2" xfId="2380"/>
    <cellStyle name="Примечание 2 9 3 4 4 3" xfId="2381"/>
    <cellStyle name="Примечание 2 9 3 4 5" xfId="2382"/>
    <cellStyle name="Примечание 2 9 3 4 6" xfId="2383"/>
    <cellStyle name="Примечание 2 9 3 5" xfId="2384"/>
    <cellStyle name="Примечание 2 9 3 5 2" xfId="2385"/>
    <cellStyle name="Примечание 2 9 3 5 3" xfId="2386"/>
    <cellStyle name="Примечание 2 9 3 6" xfId="2387"/>
    <cellStyle name="Примечание 2 9 3 6 2" xfId="2388"/>
    <cellStyle name="Примечание 2 9 3 6 3" xfId="2389"/>
    <cellStyle name="Примечание 2 9 3 7" xfId="2390"/>
    <cellStyle name="Примечание 2 9 3 7 2" xfId="2391"/>
    <cellStyle name="Примечание 2 9 3 7 3" xfId="2392"/>
    <cellStyle name="Примечание 2 9 3 8" xfId="2393"/>
    <cellStyle name="Примечание 2 9 3 9" xfId="2394"/>
    <cellStyle name="Примечание 2 9 4" xfId="2395"/>
    <cellStyle name="Примечание 2 9 4 2" xfId="2396"/>
    <cellStyle name="Примечание 2 9 4 2 2" xfId="2397"/>
    <cellStyle name="Примечание 2 9 4 2 2 2" xfId="2398"/>
    <cellStyle name="Примечание 2 9 4 2 2 3" xfId="2399"/>
    <cellStyle name="Примечание 2 9 4 2 3" xfId="2400"/>
    <cellStyle name="Примечание 2 9 4 2 3 2" xfId="2401"/>
    <cellStyle name="Примечание 2 9 4 2 3 3" xfId="2402"/>
    <cellStyle name="Примечание 2 9 4 2 4" xfId="2403"/>
    <cellStyle name="Примечание 2 9 4 2 4 2" xfId="2404"/>
    <cellStyle name="Примечание 2 9 4 2 4 3" xfId="2405"/>
    <cellStyle name="Примечание 2 9 4 2 5" xfId="2406"/>
    <cellStyle name="Примечание 2 9 4 2 6" xfId="2407"/>
    <cellStyle name="Примечание 2 9 4 3" xfId="2408"/>
    <cellStyle name="Примечание 2 9 4 3 2" xfId="2409"/>
    <cellStyle name="Примечание 2 9 4 3 2 2" xfId="2410"/>
    <cellStyle name="Примечание 2 9 4 3 2 3" xfId="2411"/>
    <cellStyle name="Примечание 2 9 4 3 3" xfId="2412"/>
    <cellStyle name="Примечание 2 9 4 3 3 2" xfId="2413"/>
    <cellStyle name="Примечание 2 9 4 3 3 3" xfId="2414"/>
    <cellStyle name="Примечание 2 9 4 3 4" xfId="2415"/>
    <cellStyle name="Примечание 2 9 4 3 4 2" xfId="2416"/>
    <cellStyle name="Примечание 2 9 4 3 4 3" xfId="2417"/>
    <cellStyle name="Примечание 2 9 4 3 5" xfId="2418"/>
    <cellStyle name="Примечание 2 9 4 3 6" xfId="2419"/>
    <cellStyle name="Примечание 2 9 4 4" xfId="2420"/>
    <cellStyle name="Примечание 2 9 4 4 2" xfId="2421"/>
    <cellStyle name="Примечание 2 9 4 4 2 2" xfId="2422"/>
    <cellStyle name="Примечание 2 9 4 4 2 3" xfId="2423"/>
    <cellStyle name="Примечание 2 9 4 4 3" xfId="2424"/>
    <cellStyle name="Примечание 2 9 4 4 3 2" xfId="2425"/>
    <cellStyle name="Примечание 2 9 4 4 3 3" xfId="2426"/>
    <cellStyle name="Примечание 2 9 4 4 4" xfId="2427"/>
    <cellStyle name="Примечание 2 9 4 4 4 2" xfId="2428"/>
    <cellStyle name="Примечание 2 9 4 4 4 3" xfId="2429"/>
    <cellStyle name="Примечание 2 9 4 4 5" xfId="2430"/>
    <cellStyle name="Примечание 2 9 4 4 6" xfId="2431"/>
    <cellStyle name="Примечание 2 9 4 5" xfId="2432"/>
    <cellStyle name="Примечание 2 9 4 5 2" xfId="2433"/>
    <cellStyle name="Примечание 2 9 4 5 3" xfId="2434"/>
    <cellStyle name="Примечание 2 9 4 6" xfId="2435"/>
    <cellStyle name="Примечание 2 9 4 6 2" xfId="2436"/>
    <cellStyle name="Примечание 2 9 4 6 3" xfId="2437"/>
    <cellStyle name="Примечание 2 9 4 7" xfId="2438"/>
    <cellStyle name="Примечание 2 9 4 7 2" xfId="2439"/>
    <cellStyle name="Примечание 2 9 4 7 3" xfId="2440"/>
    <cellStyle name="Примечание 2 9 4 8" xfId="2441"/>
    <cellStyle name="Примечание 2 9 4 9" xfId="2442"/>
    <cellStyle name="Примечание 2 9 5" xfId="2443"/>
    <cellStyle name="Примечание 2 9 5 2" xfId="2444"/>
    <cellStyle name="Примечание 2 9 5 2 2" xfId="2445"/>
    <cellStyle name="Примечание 2 9 5 2 3" xfId="2446"/>
    <cellStyle name="Примечание 2 9 5 3" xfId="2447"/>
    <cellStyle name="Примечание 2 9 5 3 2" xfId="2448"/>
    <cellStyle name="Примечание 2 9 5 3 3" xfId="2449"/>
    <cellStyle name="Примечание 2 9 5 4" xfId="2450"/>
    <cellStyle name="Примечание 2 9 5 4 2" xfId="2451"/>
    <cellStyle name="Примечание 2 9 5 4 3" xfId="2452"/>
    <cellStyle name="Примечание 2 9 5 5" xfId="2453"/>
    <cellStyle name="Примечание 2 9 5 6" xfId="2454"/>
    <cellStyle name="Примечание 2 9 6" xfId="2455"/>
    <cellStyle name="Примечание 2 9 6 2" xfId="2456"/>
    <cellStyle name="Примечание 2 9 6 2 2" xfId="2457"/>
    <cellStyle name="Примечание 2 9 6 2 3" xfId="2458"/>
    <cellStyle name="Примечание 2 9 6 3" xfId="2459"/>
    <cellStyle name="Примечание 2 9 6 3 2" xfId="2460"/>
    <cellStyle name="Примечание 2 9 6 3 3" xfId="2461"/>
    <cellStyle name="Примечание 2 9 6 4" xfId="2462"/>
    <cellStyle name="Примечание 2 9 6 4 2" xfId="2463"/>
    <cellStyle name="Примечание 2 9 6 4 3" xfId="2464"/>
    <cellStyle name="Примечание 2 9 6 5" xfId="2465"/>
    <cellStyle name="Примечание 2 9 6 6" xfId="2466"/>
    <cellStyle name="Примечание 2 9 7" xfId="2467"/>
    <cellStyle name="Примечание 2 9 7 2" xfId="2468"/>
    <cellStyle name="Примечание 2 9 7 2 2" xfId="2469"/>
    <cellStyle name="Примечание 2 9 7 2 3" xfId="2470"/>
    <cellStyle name="Примечание 2 9 7 3" xfId="2471"/>
    <cellStyle name="Примечание 2 9 7 3 2" xfId="2472"/>
    <cellStyle name="Примечание 2 9 7 3 3" xfId="2473"/>
    <cellStyle name="Примечание 2 9 7 4" xfId="2474"/>
    <cellStyle name="Примечание 2 9 7 4 2" xfId="2475"/>
    <cellStyle name="Примечание 2 9 7 4 3" xfId="2476"/>
    <cellStyle name="Примечание 2 9 7 5" xfId="2477"/>
    <cellStyle name="Примечание 2 9 7 6" xfId="2478"/>
    <cellStyle name="Примечание 2 9 8" xfId="2479"/>
    <cellStyle name="Примечание 2 9 8 2" xfId="2480"/>
    <cellStyle name="Примечание 2 9 8 3" xfId="2481"/>
    <cellStyle name="Примечание 2 9 9" xfId="2482"/>
    <cellStyle name="Примечание 2 9 9 2" xfId="2483"/>
    <cellStyle name="Примечание 2 9 9 3" xfId="2484"/>
    <cellStyle name="Примечание 3" xfId="2485"/>
    <cellStyle name="Примечание 3 10" xfId="2486"/>
    <cellStyle name="Примечание 3 10 2" xfId="2487"/>
    <cellStyle name="Примечание 3 10 3" xfId="2488"/>
    <cellStyle name="Примечание 3 11" xfId="2489"/>
    <cellStyle name="Примечание 3 12" xfId="2490"/>
    <cellStyle name="Примечание 3 2" xfId="2491"/>
    <cellStyle name="Примечание 3 2 2" xfId="2492"/>
    <cellStyle name="Примечание 3 2 2 2" xfId="2493"/>
    <cellStyle name="Примечание 3 2 2 2 2" xfId="2494"/>
    <cellStyle name="Примечание 3 2 2 2 3" xfId="2495"/>
    <cellStyle name="Примечание 3 2 2 3" xfId="2496"/>
    <cellStyle name="Примечание 3 2 2 3 2" xfId="2497"/>
    <cellStyle name="Примечание 3 2 2 3 3" xfId="2498"/>
    <cellStyle name="Примечание 3 2 2 4" xfId="2499"/>
    <cellStyle name="Примечание 3 2 2 4 2" xfId="2500"/>
    <cellStyle name="Примечание 3 2 2 4 3" xfId="2501"/>
    <cellStyle name="Примечание 3 2 2 5" xfId="2502"/>
    <cellStyle name="Примечание 3 2 2 6" xfId="2503"/>
    <cellStyle name="Примечание 3 2 3" xfId="2504"/>
    <cellStyle name="Примечание 3 2 3 2" xfId="2505"/>
    <cellStyle name="Примечание 3 2 3 2 2" xfId="2506"/>
    <cellStyle name="Примечание 3 2 3 2 3" xfId="2507"/>
    <cellStyle name="Примечание 3 2 3 3" xfId="2508"/>
    <cellStyle name="Примечание 3 2 3 3 2" xfId="2509"/>
    <cellStyle name="Примечание 3 2 3 3 3" xfId="2510"/>
    <cellStyle name="Примечание 3 2 3 4" xfId="2511"/>
    <cellStyle name="Примечание 3 2 3 4 2" xfId="2512"/>
    <cellStyle name="Примечание 3 2 3 4 3" xfId="2513"/>
    <cellStyle name="Примечание 3 2 3 5" xfId="2514"/>
    <cellStyle name="Примечание 3 2 3 6" xfId="2515"/>
    <cellStyle name="Примечание 3 2 4" xfId="2516"/>
    <cellStyle name="Примечание 3 2 4 2" xfId="2517"/>
    <cellStyle name="Примечание 3 2 4 2 2" xfId="2518"/>
    <cellStyle name="Примечание 3 2 4 2 3" xfId="2519"/>
    <cellStyle name="Примечание 3 2 4 3" xfId="2520"/>
    <cellStyle name="Примечание 3 2 4 3 2" xfId="2521"/>
    <cellStyle name="Примечание 3 2 4 3 3" xfId="2522"/>
    <cellStyle name="Примечание 3 2 4 4" xfId="2523"/>
    <cellStyle name="Примечание 3 2 4 4 2" xfId="2524"/>
    <cellStyle name="Примечание 3 2 4 4 3" xfId="2525"/>
    <cellStyle name="Примечание 3 2 4 5" xfId="2526"/>
    <cellStyle name="Примечание 3 2 4 6" xfId="2527"/>
    <cellStyle name="Примечание 3 2 5" xfId="2528"/>
    <cellStyle name="Примечание 3 2 5 2" xfId="2529"/>
    <cellStyle name="Примечание 3 2 5 3" xfId="2530"/>
    <cellStyle name="Примечание 3 2 6" xfId="2531"/>
    <cellStyle name="Примечание 3 2 6 2" xfId="2532"/>
    <cellStyle name="Примечание 3 2 6 3" xfId="2533"/>
    <cellStyle name="Примечание 3 2 7" xfId="2534"/>
    <cellStyle name="Примечание 3 2 7 2" xfId="2535"/>
    <cellStyle name="Примечание 3 2 7 3" xfId="2536"/>
    <cellStyle name="Примечание 3 2 8" xfId="2537"/>
    <cellStyle name="Примечание 3 2 9" xfId="2538"/>
    <cellStyle name="Примечание 3 3" xfId="2539"/>
    <cellStyle name="Примечание 3 3 2" xfId="2540"/>
    <cellStyle name="Примечание 3 3 2 2" xfId="2541"/>
    <cellStyle name="Примечание 3 3 2 2 2" xfId="2542"/>
    <cellStyle name="Примечание 3 3 2 2 3" xfId="2543"/>
    <cellStyle name="Примечание 3 3 2 3" xfId="2544"/>
    <cellStyle name="Примечание 3 3 2 3 2" xfId="2545"/>
    <cellStyle name="Примечание 3 3 2 3 3" xfId="2546"/>
    <cellStyle name="Примечание 3 3 2 4" xfId="2547"/>
    <cellStyle name="Примечание 3 3 2 4 2" xfId="2548"/>
    <cellStyle name="Примечание 3 3 2 4 3" xfId="2549"/>
    <cellStyle name="Примечание 3 3 2 5" xfId="2550"/>
    <cellStyle name="Примечание 3 3 2 6" xfId="2551"/>
    <cellStyle name="Примечание 3 3 3" xfId="2552"/>
    <cellStyle name="Примечание 3 3 3 2" xfId="2553"/>
    <cellStyle name="Примечание 3 3 3 2 2" xfId="2554"/>
    <cellStyle name="Примечание 3 3 3 2 3" xfId="2555"/>
    <cellStyle name="Примечание 3 3 3 3" xfId="2556"/>
    <cellStyle name="Примечание 3 3 3 3 2" xfId="2557"/>
    <cellStyle name="Примечание 3 3 3 3 3" xfId="2558"/>
    <cellStyle name="Примечание 3 3 3 4" xfId="2559"/>
    <cellStyle name="Примечание 3 3 3 4 2" xfId="2560"/>
    <cellStyle name="Примечание 3 3 3 4 3" xfId="2561"/>
    <cellStyle name="Примечание 3 3 3 5" xfId="2562"/>
    <cellStyle name="Примечание 3 3 3 6" xfId="2563"/>
    <cellStyle name="Примечание 3 3 4" xfId="2564"/>
    <cellStyle name="Примечание 3 3 4 2" xfId="2565"/>
    <cellStyle name="Примечание 3 3 4 2 2" xfId="2566"/>
    <cellStyle name="Примечание 3 3 4 2 3" xfId="2567"/>
    <cellStyle name="Примечание 3 3 4 3" xfId="2568"/>
    <cellStyle name="Примечание 3 3 4 3 2" xfId="2569"/>
    <cellStyle name="Примечание 3 3 4 3 3" xfId="2570"/>
    <cellStyle name="Примечание 3 3 4 4" xfId="2571"/>
    <cellStyle name="Примечание 3 3 4 4 2" xfId="2572"/>
    <cellStyle name="Примечание 3 3 4 4 3" xfId="2573"/>
    <cellStyle name="Примечание 3 3 4 5" xfId="2574"/>
    <cellStyle name="Примечание 3 3 4 6" xfId="2575"/>
    <cellStyle name="Примечание 3 3 5" xfId="2576"/>
    <cellStyle name="Примечание 3 3 5 2" xfId="2577"/>
    <cellStyle name="Примечание 3 3 5 3" xfId="2578"/>
    <cellStyle name="Примечание 3 3 6" xfId="2579"/>
    <cellStyle name="Примечание 3 3 6 2" xfId="2580"/>
    <cellStyle name="Примечание 3 3 6 3" xfId="2581"/>
    <cellStyle name="Примечание 3 3 7" xfId="2582"/>
    <cellStyle name="Примечание 3 3 7 2" xfId="2583"/>
    <cellStyle name="Примечание 3 3 7 3" xfId="2584"/>
    <cellStyle name="Примечание 3 3 8" xfId="2585"/>
    <cellStyle name="Примечание 3 3 9" xfId="2586"/>
    <cellStyle name="Примечание 3 4" xfId="2587"/>
    <cellStyle name="Примечание 3 4 2" xfId="2588"/>
    <cellStyle name="Примечание 3 4 2 2" xfId="2589"/>
    <cellStyle name="Примечание 3 4 2 2 2" xfId="2590"/>
    <cellStyle name="Примечание 3 4 2 2 3" xfId="2591"/>
    <cellStyle name="Примечание 3 4 2 3" xfId="2592"/>
    <cellStyle name="Примечание 3 4 2 3 2" xfId="2593"/>
    <cellStyle name="Примечание 3 4 2 3 3" xfId="2594"/>
    <cellStyle name="Примечание 3 4 2 4" xfId="2595"/>
    <cellStyle name="Примечание 3 4 2 4 2" xfId="2596"/>
    <cellStyle name="Примечание 3 4 2 4 3" xfId="2597"/>
    <cellStyle name="Примечание 3 4 2 5" xfId="2598"/>
    <cellStyle name="Примечание 3 4 2 6" xfId="2599"/>
    <cellStyle name="Примечание 3 4 3" xfId="2600"/>
    <cellStyle name="Примечание 3 4 3 2" xfId="2601"/>
    <cellStyle name="Примечание 3 4 3 2 2" xfId="2602"/>
    <cellStyle name="Примечание 3 4 3 2 3" xfId="2603"/>
    <cellStyle name="Примечание 3 4 3 3" xfId="2604"/>
    <cellStyle name="Примечание 3 4 3 3 2" xfId="2605"/>
    <cellStyle name="Примечание 3 4 3 3 3" xfId="2606"/>
    <cellStyle name="Примечание 3 4 3 4" xfId="2607"/>
    <cellStyle name="Примечание 3 4 3 4 2" xfId="2608"/>
    <cellStyle name="Примечание 3 4 3 4 3" xfId="2609"/>
    <cellStyle name="Примечание 3 4 3 5" xfId="2610"/>
    <cellStyle name="Примечание 3 4 3 6" xfId="2611"/>
    <cellStyle name="Примечание 3 4 4" xfId="2612"/>
    <cellStyle name="Примечание 3 4 4 2" xfId="2613"/>
    <cellStyle name="Примечание 3 4 4 2 2" xfId="2614"/>
    <cellStyle name="Примечание 3 4 4 2 3" xfId="2615"/>
    <cellStyle name="Примечание 3 4 4 3" xfId="2616"/>
    <cellStyle name="Примечание 3 4 4 3 2" xfId="2617"/>
    <cellStyle name="Примечание 3 4 4 3 3" xfId="2618"/>
    <cellStyle name="Примечание 3 4 4 4" xfId="2619"/>
    <cellStyle name="Примечание 3 4 4 4 2" xfId="2620"/>
    <cellStyle name="Примечание 3 4 4 4 3" xfId="2621"/>
    <cellStyle name="Примечание 3 4 4 5" xfId="2622"/>
    <cellStyle name="Примечание 3 4 4 6" xfId="2623"/>
    <cellStyle name="Примечание 3 4 5" xfId="2624"/>
    <cellStyle name="Примечание 3 4 5 2" xfId="2625"/>
    <cellStyle name="Примечание 3 4 5 3" xfId="2626"/>
    <cellStyle name="Примечание 3 4 6" xfId="2627"/>
    <cellStyle name="Примечание 3 4 6 2" xfId="2628"/>
    <cellStyle name="Примечание 3 4 6 3" xfId="2629"/>
    <cellStyle name="Примечание 3 4 7" xfId="2630"/>
    <cellStyle name="Примечание 3 4 7 2" xfId="2631"/>
    <cellStyle name="Примечание 3 4 7 3" xfId="2632"/>
    <cellStyle name="Примечание 3 4 8" xfId="2633"/>
    <cellStyle name="Примечание 3 4 9" xfId="2634"/>
    <cellStyle name="Примечание 3 5" xfId="2635"/>
    <cellStyle name="Примечание 3 5 2" xfId="2636"/>
    <cellStyle name="Примечание 3 5 2 2" xfId="2637"/>
    <cellStyle name="Примечание 3 5 2 3" xfId="2638"/>
    <cellStyle name="Примечание 3 5 3" xfId="2639"/>
    <cellStyle name="Примечание 3 5 3 2" xfId="2640"/>
    <cellStyle name="Примечание 3 5 3 3" xfId="2641"/>
    <cellStyle name="Примечание 3 5 4" xfId="2642"/>
    <cellStyle name="Примечание 3 5 4 2" xfId="2643"/>
    <cellStyle name="Примечание 3 5 4 3" xfId="2644"/>
    <cellStyle name="Примечание 3 5 5" xfId="2645"/>
    <cellStyle name="Примечание 3 5 6" xfId="2646"/>
    <cellStyle name="Примечание 3 6" xfId="2647"/>
    <cellStyle name="Примечание 3 6 2" xfId="2648"/>
    <cellStyle name="Примечание 3 6 2 2" xfId="2649"/>
    <cellStyle name="Примечание 3 6 2 3" xfId="2650"/>
    <cellStyle name="Примечание 3 6 3" xfId="2651"/>
    <cellStyle name="Примечание 3 6 3 2" xfId="2652"/>
    <cellStyle name="Примечание 3 6 3 3" xfId="2653"/>
    <cellStyle name="Примечание 3 6 4" xfId="2654"/>
    <cellStyle name="Примечание 3 6 4 2" xfId="2655"/>
    <cellStyle name="Примечание 3 6 4 3" xfId="2656"/>
    <cellStyle name="Примечание 3 6 5" xfId="2657"/>
    <cellStyle name="Примечание 3 6 6" xfId="2658"/>
    <cellStyle name="Примечание 3 7" xfId="2659"/>
    <cellStyle name="Примечание 3 7 2" xfId="2660"/>
    <cellStyle name="Примечание 3 7 2 2" xfId="2661"/>
    <cellStyle name="Примечание 3 7 2 3" xfId="2662"/>
    <cellStyle name="Примечание 3 7 3" xfId="2663"/>
    <cellStyle name="Примечание 3 7 3 2" xfId="2664"/>
    <cellStyle name="Примечание 3 7 3 3" xfId="2665"/>
    <cellStyle name="Примечание 3 7 4" xfId="2666"/>
    <cellStyle name="Примечание 3 7 4 2" xfId="2667"/>
    <cellStyle name="Примечание 3 7 4 3" xfId="2668"/>
    <cellStyle name="Примечание 3 7 5" xfId="2669"/>
    <cellStyle name="Примечание 3 7 6" xfId="2670"/>
    <cellStyle name="Примечание 3 8" xfId="2671"/>
    <cellStyle name="Примечание 3 8 2" xfId="2672"/>
    <cellStyle name="Примечание 3 8 3" xfId="2673"/>
    <cellStyle name="Примечание 3 9" xfId="2674"/>
    <cellStyle name="Примечание 3 9 2" xfId="2675"/>
    <cellStyle name="Примечание 3 9 3" xfId="2676"/>
    <cellStyle name="Примечание 4" xfId="2677"/>
    <cellStyle name="Примечание 4 10" xfId="2678"/>
    <cellStyle name="Примечание 4 10 2" xfId="2679"/>
    <cellStyle name="Примечание 4 10 3" xfId="2680"/>
    <cellStyle name="Примечание 4 11" xfId="2681"/>
    <cellStyle name="Примечание 4 12" xfId="2682"/>
    <cellStyle name="Примечание 4 2" xfId="2683"/>
    <cellStyle name="Примечание 4 2 2" xfId="2684"/>
    <cellStyle name="Примечание 4 2 2 2" xfId="2685"/>
    <cellStyle name="Примечание 4 2 2 2 2" xfId="2686"/>
    <cellStyle name="Примечание 4 2 2 2 3" xfId="2687"/>
    <cellStyle name="Примечание 4 2 2 3" xfId="2688"/>
    <cellStyle name="Примечание 4 2 2 3 2" xfId="2689"/>
    <cellStyle name="Примечание 4 2 2 3 3" xfId="2690"/>
    <cellStyle name="Примечание 4 2 2 4" xfId="2691"/>
    <cellStyle name="Примечание 4 2 2 4 2" xfId="2692"/>
    <cellStyle name="Примечание 4 2 2 4 3" xfId="2693"/>
    <cellStyle name="Примечание 4 2 2 5" xfId="2694"/>
    <cellStyle name="Примечание 4 2 2 6" xfId="2695"/>
    <cellStyle name="Примечание 4 2 3" xfId="2696"/>
    <cellStyle name="Примечание 4 2 3 2" xfId="2697"/>
    <cellStyle name="Примечание 4 2 3 2 2" xfId="2698"/>
    <cellStyle name="Примечание 4 2 3 2 3" xfId="2699"/>
    <cellStyle name="Примечание 4 2 3 3" xfId="2700"/>
    <cellStyle name="Примечание 4 2 3 3 2" xfId="2701"/>
    <cellStyle name="Примечание 4 2 3 3 3" xfId="2702"/>
    <cellStyle name="Примечание 4 2 3 4" xfId="2703"/>
    <cellStyle name="Примечание 4 2 3 4 2" xfId="2704"/>
    <cellStyle name="Примечание 4 2 3 4 3" xfId="2705"/>
    <cellStyle name="Примечание 4 2 3 5" xfId="2706"/>
    <cellStyle name="Примечание 4 2 3 6" xfId="2707"/>
    <cellStyle name="Примечание 4 2 4" xfId="2708"/>
    <cellStyle name="Примечание 4 2 4 2" xfId="2709"/>
    <cellStyle name="Примечание 4 2 4 2 2" xfId="2710"/>
    <cellStyle name="Примечание 4 2 4 2 3" xfId="2711"/>
    <cellStyle name="Примечание 4 2 4 3" xfId="2712"/>
    <cellStyle name="Примечание 4 2 4 3 2" xfId="2713"/>
    <cellStyle name="Примечание 4 2 4 3 3" xfId="2714"/>
    <cellStyle name="Примечание 4 2 4 4" xfId="2715"/>
    <cellStyle name="Примечание 4 2 4 4 2" xfId="2716"/>
    <cellStyle name="Примечание 4 2 4 4 3" xfId="2717"/>
    <cellStyle name="Примечание 4 2 4 5" xfId="2718"/>
    <cellStyle name="Примечание 4 2 4 6" xfId="2719"/>
    <cellStyle name="Примечание 4 2 5" xfId="2720"/>
    <cellStyle name="Примечание 4 2 5 2" xfId="2721"/>
    <cellStyle name="Примечание 4 2 5 3" xfId="2722"/>
    <cellStyle name="Примечание 4 2 6" xfId="2723"/>
    <cellStyle name="Примечание 4 2 6 2" xfId="2724"/>
    <cellStyle name="Примечание 4 2 6 3" xfId="2725"/>
    <cellStyle name="Примечание 4 2 7" xfId="2726"/>
    <cellStyle name="Примечание 4 2 7 2" xfId="2727"/>
    <cellStyle name="Примечание 4 2 7 3" xfId="2728"/>
    <cellStyle name="Примечание 4 2 8" xfId="2729"/>
    <cellStyle name="Примечание 4 2 9" xfId="2730"/>
    <cellStyle name="Примечание 4 3" xfId="2731"/>
    <cellStyle name="Примечание 4 3 2" xfId="2732"/>
    <cellStyle name="Примечание 4 3 2 2" xfId="2733"/>
    <cellStyle name="Примечание 4 3 2 2 2" xfId="2734"/>
    <cellStyle name="Примечание 4 3 2 2 3" xfId="2735"/>
    <cellStyle name="Примечание 4 3 2 3" xfId="2736"/>
    <cellStyle name="Примечание 4 3 2 3 2" xfId="2737"/>
    <cellStyle name="Примечание 4 3 2 3 3" xfId="2738"/>
    <cellStyle name="Примечание 4 3 2 4" xfId="2739"/>
    <cellStyle name="Примечание 4 3 2 4 2" xfId="2740"/>
    <cellStyle name="Примечание 4 3 2 4 3" xfId="2741"/>
    <cellStyle name="Примечание 4 3 2 5" xfId="2742"/>
    <cellStyle name="Примечание 4 3 2 6" xfId="2743"/>
    <cellStyle name="Примечание 4 3 3" xfId="2744"/>
    <cellStyle name="Примечание 4 3 3 2" xfId="2745"/>
    <cellStyle name="Примечание 4 3 3 2 2" xfId="2746"/>
    <cellStyle name="Примечание 4 3 3 2 3" xfId="2747"/>
    <cellStyle name="Примечание 4 3 3 3" xfId="2748"/>
    <cellStyle name="Примечание 4 3 3 3 2" xfId="2749"/>
    <cellStyle name="Примечание 4 3 3 3 3" xfId="2750"/>
    <cellStyle name="Примечание 4 3 3 4" xfId="2751"/>
    <cellStyle name="Примечание 4 3 3 4 2" xfId="2752"/>
    <cellStyle name="Примечание 4 3 3 4 3" xfId="2753"/>
    <cellStyle name="Примечание 4 3 3 5" xfId="2754"/>
    <cellStyle name="Примечание 4 3 3 6" xfId="2755"/>
    <cellStyle name="Примечание 4 3 4" xfId="2756"/>
    <cellStyle name="Примечание 4 3 4 2" xfId="2757"/>
    <cellStyle name="Примечание 4 3 4 2 2" xfId="2758"/>
    <cellStyle name="Примечание 4 3 4 2 3" xfId="2759"/>
    <cellStyle name="Примечание 4 3 4 3" xfId="2760"/>
    <cellStyle name="Примечание 4 3 4 3 2" xfId="2761"/>
    <cellStyle name="Примечание 4 3 4 3 3" xfId="2762"/>
    <cellStyle name="Примечание 4 3 4 4" xfId="2763"/>
    <cellStyle name="Примечание 4 3 4 4 2" xfId="2764"/>
    <cellStyle name="Примечание 4 3 4 4 3" xfId="2765"/>
    <cellStyle name="Примечание 4 3 4 5" xfId="2766"/>
    <cellStyle name="Примечание 4 3 4 6" xfId="2767"/>
    <cellStyle name="Примечание 4 3 5" xfId="2768"/>
    <cellStyle name="Примечание 4 3 5 2" xfId="2769"/>
    <cellStyle name="Примечание 4 3 5 3" xfId="2770"/>
    <cellStyle name="Примечание 4 3 6" xfId="2771"/>
    <cellStyle name="Примечание 4 3 6 2" xfId="2772"/>
    <cellStyle name="Примечание 4 3 6 3" xfId="2773"/>
    <cellStyle name="Примечание 4 3 7" xfId="2774"/>
    <cellStyle name="Примечание 4 3 7 2" xfId="2775"/>
    <cellStyle name="Примечание 4 3 7 3" xfId="2776"/>
    <cellStyle name="Примечание 4 3 8" xfId="2777"/>
    <cellStyle name="Примечание 4 3 9" xfId="2778"/>
    <cellStyle name="Примечание 4 4" xfId="2779"/>
    <cellStyle name="Примечание 4 4 2" xfId="2780"/>
    <cellStyle name="Примечание 4 4 2 2" xfId="2781"/>
    <cellStyle name="Примечание 4 4 2 2 2" xfId="2782"/>
    <cellStyle name="Примечание 4 4 2 2 3" xfId="2783"/>
    <cellStyle name="Примечание 4 4 2 3" xfId="2784"/>
    <cellStyle name="Примечание 4 4 2 3 2" xfId="2785"/>
    <cellStyle name="Примечание 4 4 2 3 3" xfId="2786"/>
    <cellStyle name="Примечание 4 4 2 4" xfId="2787"/>
    <cellStyle name="Примечание 4 4 2 4 2" xfId="2788"/>
    <cellStyle name="Примечание 4 4 2 4 3" xfId="2789"/>
    <cellStyle name="Примечание 4 4 2 5" xfId="2790"/>
    <cellStyle name="Примечание 4 4 2 6" xfId="2791"/>
    <cellStyle name="Примечание 4 4 3" xfId="2792"/>
    <cellStyle name="Примечание 4 4 3 2" xfId="2793"/>
    <cellStyle name="Примечание 4 4 3 2 2" xfId="2794"/>
    <cellStyle name="Примечание 4 4 3 2 3" xfId="2795"/>
    <cellStyle name="Примечание 4 4 3 3" xfId="2796"/>
    <cellStyle name="Примечание 4 4 3 3 2" xfId="2797"/>
    <cellStyle name="Примечание 4 4 3 3 3" xfId="2798"/>
    <cellStyle name="Примечание 4 4 3 4" xfId="2799"/>
    <cellStyle name="Примечание 4 4 3 4 2" xfId="2800"/>
    <cellStyle name="Примечание 4 4 3 4 3" xfId="2801"/>
    <cellStyle name="Примечание 4 4 3 5" xfId="2802"/>
    <cellStyle name="Примечание 4 4 3 6" xfId="2803"/>
    <cellStyle name="Примечание 4 4 4" xfId="2804"/>
    <cellStyle name="Примечание 4 4 4 2" xfId="2805"/>
    <cellStyle name="Примечание 4 4 4 2 2" xfId="2806"/>
    <cellStyle name="Примечание 4 4 4 2 3" xfId="2807"/>
    <cellStyle name="Примечание 4 4 4 3" xfId="2808"/>
    <cellStyle name="Примечание 4 4 4 3 2" xfId="2809"/>
    <cellStyle name="Примечание 4 4 4 3 3" xfId="2810"/>
    <cellStyle name="Примечание 4 4 4 4" xfId="2811"/>
    <cellStyle name="Примечание 4 4 4 4 2" xfId="2812"/>
    <cellStyle name="Примечание 4 4 4 4 3" xfId="2813"/>
    <cellStyle name="Примечание 4 4 4 5" xfId="2814"/>
    <cellStyle name="Примечание 4 4 4 6" xfId="2815"/>
    <cellStyle name="Примечание 4 4 5" xfId="2816"/>
    <cellStyle name="Примечание 4 4 5 2" xfId="2817"/>
    <cellStyle name="Примечание 4 4 5 3" xfId="2818"/>
    <cellStyle name="Примечание 4 4 6" xfId="2819"/>
    <cellStyle name="Примечание 4 4 6 2" xfId="2820"/>
    <cellStyle name="Примечание 4 4 6 3" xfId="2821"/>
    <cellStyle name="Примечание 4 4 7" xfId="2822"/>
    <cellStyle name="Примечание 4 4 7 2" xfId="2823"/>
    <cellStyle name="Примечание 4 4 7 3" xfId="2824"/>
    <cellStyle name="Примечание 4 4 8" xfId="2825"/>
    <cellStyle name="Примечание 4 4 9" xfId="2826"/>
    <cellStyle name="Примечание 4 5" xfId="2827"/>
    <cellStyle name="Примечание 4 5 2" xfId="2828"/>
    <cellStyle name="Примечание 4 5 2 2" xfId="2829"/>
    <cellStyle name="Примечание 4 5 2 3" xfId="2830"/>
    <cellStyle name="Примечание 4 5 3" xfId="2831"/>
    <cellStyle name="Примечание 4 5 3 2" xfId="2832"/>
    <cellStyle name="Примечание 4 5 3 3" xfId="2833"/>
    <cellStyle name="Примечание 4 5 4" xfId="2834"/>
    <cellStyle name="Примечание 4 5 4 2" xfId="2835"/>
    <cellStyle name="Примечание 4 5 4 3" xfId="2836"/>
    <cellStyle name="Примечание 4 5 5" xfId="2837"/>
    <cellStyle name="Примечание 4 5 6" xfId="2838"/>
    <cellStyle name="Примечание 4 6" xfId="2839"/>
    <cellStyle name="Примечание 4 6 2" xfId="2840"/>
    <cellStyle name="Примечание 4 6 2 2" xfId="2841"/>
    <cellStyle name="Примечание 4 6 2 3" xfId="2842"/>
    <cellStyle name="Примечание 4 6 3" xfId="2843"/>
    <cellStyle name="Примечание 4 6 3 2" xfId="2844"/>
    <cellStyle name="Примечание 4 6 3 3" xfId="2845"/>
    <cellStyle name="Примечание 4 6 4" xfId="2846"/>
    <cellStyle name="Примечание 4 6 4 2" xfId="2847"/>
    <cellStyle name="Примечание 4 6 4 3" xfId="2848"/>
    <cellStyle name="Примечание 4 6 5" xfId="2849"/>
    <cellStyle name="Примечание 4 6 6" xfId="2850"/>
    <cellStyle name="Примечание 4 7" xfId="2851"/>
    <cellStyle name="Примечание 4 7 2" xfId="2852"/>
    <cellStyle name="Примечание 4 7 2 2" xfId="2853"/>
    <cellStyle name="Примечание 4 7 2 3" xfId="2854"/>
    <cellStyle name="Примечание 4 7 3" xfId="2855"/>
    <cellStyle name="Примечание 4 7 3 2" xfId="2856"/>
    <cellStyle name="Примечание 4 7 3 3" xfId="2857"/>
    <cellStyle name="Примечание 4 7 4" xfId="2858"/>
    <cellStyle name="Примечание 4 7 4 2" xfId="2859"/>
    <cellStyle name="Примечание 4 7 4 3" xfId="2860"/>
    <cellStyle name="Примечание 4 7 5" xfId="2861"/>
    <cellStyle name="Примечание 4 7 6" xfId="2862"/>
    <cellStyle name="Примечание 4 8" xfId="2863"/>
    <cellStyle name="Примечание 4 8 2" xfId="2864"/>
    <cellStyle name="Примечание 4 8 3" xfId="2865"/>
    <cellStyle name="Примечание 4 9" xfId="2866"/>
    <cellStyle name="Примечание 4 9 2" xfId="2867"/>
    <cellStyle name="Примечание 4 9 3" xfId="2868"/>
    <cellStyle name="Примечание 5" xfId="2869"/>
    <cellStyle name="Примечание 5 10" xfId="2870"/>
    <cellStyle name="Примечание 5 11" xfId="2871"/>
    <cellStyle name="Примечание 5 2" xfId="2872"/>
    <cellStyle name="Примечание 5 2 2" xfId="2873"/>
    <cellStyle name="Примечание 5 2 2 2" xfId="2874"/>
    <cellStyle name="Примечание 5 2 2 2 2" xfId="2875"/>
    <cellStyle name="Примечание 5 2 2 2 3" xfId="2876"/>
    <cellStyle name="Примечание 5 2 2 3" xfId="2877"/>
    <cellStyle name="Примечание 5 2 2 3 2" xfId="2878"/>
    <cellStyle name="Примечание 5 2 2 3 3" xfId="2879"/>
    <cellStyle name="Примечание 5 2 2 4" xfId="2880"/>
    <cellStyle name="Примечание 5 2 2 4 2" xfId="2881"/>
    <cellStyle name="Примечание 5 2 2 4 3" xfId="2882"/>
    <cellStyle name="Примечание 5 2 2 5" xfId="2883"/>
    <cellStyle name="Примечание 5 2 2 6" xfId="2884"/>
    <cellStyle name="Примечание 5 2 3" xfId="2885"/>
    <cellStyle name="Примечание 5 2 3 2" xfId="2886"/>
    <cellStyle name="Примечание 5 2 3 2 2" xfId="2887"/>
    <cellStyle name="Примечание 5 2 3 2 3" xfId="2888"/>
    <cellStyle name="Примечание 5 2 3 3" xfId="2889"/>
    <cellStyle name="Примечание 5 2 3 3 2" xfId="2890"/>
    <cellStyle name="Примечание 5 2 3 3 3" xfId="2891"/>
    <cellStyle name="Примечание 5 2 3 4" xfId="2892"/>
    <cellStyle name="Примечание 5 2 3 4 2" xfId="2893"/>
    <cellStyle name="Примечание 5 2 3 4 3" xfId="2894"/>
    <cellStyle name="Примечание 5 2 3 5" xfId="2895"/>
    <cellStyle name="Примечание 5 2 3 6" xfId="2896"/>
    <cellStyle name="Примечание 5 2 4" xfId="2897"/>
    <cellStyle name="Примечание 5 2 4 2" xfId="2898"/>
    <cellStyle name="Примечание 5 2 4 2 2" xfId="2899"/>
    <cellStyle name="Примечание 5 2 4 2 3" xfId="2900"/>
    <cellStyle name="Примечание 5 2 4 3" xfId="2901"/>
    <cellStyle name="Примечание 5 2 4 3 2" xfId="2902"/>
    <cellStyle name="Примечание 5 2 4 3 3" xfId="2903"/>
    <cellStyle name="Примечание 5 2 4 4" xfId="2904"/>
    <cellStyle name="Примечание 5 2 4 4 2" xfId="2905"/>
    <cellStyle name="Примечание 5 2 4 4 3" xfId="2906"/>
    <cellStyle name="Примечание 5 2 4 5" xfId="2907"/>
    <cellStyle name="Примечание 5 2 4 6" xfId="2908"/>
    <cellStyle name="Примечание 5 2 5" xfId="2909"/>
    <cellStyle name="Примечание 5 2 5 2" xfId="2910"/>
    <cellStyle name="Примечание 5 2 5 3" xfId="2911"/>
    <cellStyle name="Примечание 5 2 6" xfId="2912"/>
    <cellStyle name="Примечание 5 2 6 2" xfId="2913"/>
    <cellStyle name="Примечание 5 2 6 3" xfId="2914"/>
    <cellStyle name="Примечание 5 2 7" xfId="2915"/>
    <cellStyle name="Примечание 5 2 7 2" xfId="2916"/>
    <cellStyle name="Примечание 5 2 7 3" xfId="2917"/>
    <cellStyle name="Примечание 5 2 8" xfId="2918"/>
    <cellStyle name="Примечание 5 2 9" xfId="2919"/>
    <cellStyle name="Примечание 5 3" xfId="2920"/>
    <cellStyle name="Примечание 5 3 2" xfId="2921"/>
    <cellStyle name="Примечание 5 3 2 2" xfId="2922"/>
    <cellStyle name="Примечание 5 3 2 2 2" xfId="2923"/>
    <cellStyle name="Примечание 5 3 2 2 3" xfId="2924"/>
    <cellStyle name="Примечание 5 3 2 3" xfId="2925"/>
    <cellStyle name="Примечание 5 3 2 3 2" xfId="2926"/>
    <cellStyle name="Примечание 5 3 2 3 3" xfId="2927"/>
    <cellStyle name="Примечание 5 3 2 4" xfId="2928"/>
    <cellStyle name="Примечание 5 3 2 4 2" xfId="2929"/>
    <cellStyle name="Примечание 5 3 2 4 3" xfId="2930"/>
    <cellStyle name="Примечание 5 3 2 5" xfId="2931"/>
    <cellStyle name="Примечание 5 3 2 6" xfId="2932"/>
    <cellStyle name="Примечание 5 3 3" xfId="2933"/>
    <cellStyle name="Примечание 5 3 3 2" xfId="2934"/>
    <cellStyle name="Примечание 5 3 3 2 2" xfId="2935"/>
    <cellStyle name="Примечание 5 3 3 2 3" xfId="2936"/>
    <cellStyle name="Примечание 5 3 3 3" xfId="2937"/>
    <cellStyle name="Примечание 5 3 3 3 2" xfId="2938"/>
    <cellStyle name="Примечание 5 3 3 3 3" xfId="2939"/>
    <cellStyle name="Примечание 5 3 3 4" xfId="2940"/>
    <cellStyle name="Примечание 5 3 3 4 2" xfId="2941"/>
    <cellStyle name="Примечание 5 3 3 4 3" xfId="2942"/>
    <cellStyle name="Примечание 5 3 3 5" xfId="2943"/>
    <cellStyle name="Примечание 5 3 3 6" xfId="2944"/>
    <cellStyle name="Примечание 5 3 4" xfId="2945"/>
    <cellStyle name="Примечание 5 3 4 2" xfId="2946"/>
    <cellStyle name="Примечание 5 3 4 2 2" xfId="2947"/>
    <cellStyle name="Примечание 5 3 4 2 3" xfId="2948"/>
    <cellStyle name="Примечание 5 3 4 3" xfId="2949"/>
    <cellStyle name="Примечание 5 3 4 3 2" xfId="2950"/>
    <cellStyle name="Примечание 5 3 4 3 3" xfId="2951"/>
    <cellStyle name="Примечание 5 3 4 4" xfId="2952"/>
    <cellStyle name="Примечание 5 3 4 4 2" xfId="2953"/>
    <cellStyle name="Примечание 5 3 4 4 3" xfId="2954"/>
    <cellStyle name="Примечание 5 3 4 5" xfId="2955"/>
    <cellStyle name="Примечание 5 3 4 6" xfId="2956"/>
    <cellStyle name="Примечание 5 3 5" xfId="2957"/>
    <cellStyle name="Примечание 5 3 5 2" xfId="2958"/>
    <cellStyle name="Примечание 5 3 5 3" xfId="2959"/>
    <cellStyle name="Примечание 5 3 6" xfId="2960"/>
    <cellStyle name="Примечание 5 3 6 2" xfId="2961"/>
    <cellStyle name="Примечание 5 3 6 3" xfId="2962"/>
    <cellStyle name="Примечание 5 3 7" xfId="2963"/>
    <cellStyle name="Примечание 5 3 7 2" xfId="2964"/>
    <cellStyle name="Примечание 5 3 7 3" xfId="2965"/>
    <cellStyle name="Примечание 5 3 8" xfId="2966"/>
    <cellStyle name="Примечание 5 3 9" xfId="2967"/>
    <cellStyle name="Примечание 5 4" xfId="2968"/>
    <cellStyle name="Примечание 5 4 2" xfId="2969"/>
    <cellStyle name="Примечание 5 4 2 2" xfId="2970"/>
    <cellStyle name="Примечание 5 4 2 3" xfId="2971"/>
    <cellStyle name="Примечание 5 4 3" xfId="2972"/>
    <cellStyle name="Примечание 5 4 3 2" xfId="2973"/>
    <cellStyle name="Примечание 5 4 3 3" xfId="2974"/>
    <cellStyle name="Примечание 5 4 4" xfId="2975"/>
    <cellStyle name="Примечание 5 4 4 2" xfId="2976"/>
    <cellStyle name="Примечание 5 4 4 3" xfId="2977"/>
    <cellStyle name="Примечание 5 4 5" xfId="2978"/>
    <cellStyle name="Примечание 5 4 6" xfId="2979"/>
    <cellStyle name="Примечание 5 5" xfId="2980"/>
    <cellStyle name="Примечание 5 5 2" xfId="2981"/>
    <cellStyle name="Примечание 5 5 2 2" xfId="2982"/>
    <cellStyle name="Примечание 5 5 2 3" xfId="2983"/>
    <cellStyle name="Примечание 5 5 3" xfId="2984"/>
    <cellStyle name="Примечание 5 5 3 2" xfId="2985"/>
    <cellStyle name="Примечание 5 5 3 3" xfId="2986"/>
    <cellStyle name="Примечание 5 5 4" xfId="2987"/>
    <cellStyle name="Примечание 5 5 4 2" xfId="2988"/>
    <cellStyle name="Примечание 5 5 4 3" xfId="2989"/>
    <cellStyle name="Примечание 5 5 5" xfId="2990"/>
    <cellStyle name="Примечание 5 5 6" xfId="2991"/>
    <cellStyle name="Примечание 5 6" xfId="2992"/>
    <cellStyle name="Примечание 5 6 2" xfId="2993"/>
    <cellStyle name="Примечание 5 6 2 2" xfId="2994"/>
    <cellStyle name="Примечание 5 6 2 3" xfId="2995"/>
    <cellStyle name="Примечание 5 6 3" xfId="2996"/>
    <cellStyle name="Примечание 5 6 3 2" xfId="2997"/>
    <cellStyle name="Примечание 5 6 3 3" xfId="2998"/>
    <cellStyle name="Примечание 5 6 4" xfId="2999"/>
    <cellStyle name="Примечание 5 6 4 2" xfId="3000"/>
    <cellStyle name="Примечание 5 6 4 3" xfId="3001"/>
    <cellStyle name="Примечание 5 6 5" xfId="3002"/>
    <cellStyle name="Примечание 5 6 6" xfId="3003"/>
    <cellStyle name="Примечание 5 7" xfId="3004"/>
    <cellStyle name="Примечание 5 7 2" xfId="3005"/>
    <cellStyle name="Примечание 5 7 3" xfId="3006"/>
    <cellStyle name="Примечание 5 8" xfId="3007"/>
    <cellStyle name="Примечание 5 8 2" xfId="3008"/>
    <cellStyle name="Примечание 5 8 3" xfId="3009"/>
    <cellStyle name="Примечание 5 9" xfId="3010"/>
    <cellStyle name="Примечание 5 9 2" xfId="3011"/>
    <cellStyle name="Примечание 5 9 3" xfId="3012"/>
    <cellStyle name="Примечание 6" xfId="3013"/>
    <cellStyle name="Примечание 6 10" xfId="3014"/>
    <cellStyle name="Примечание 6 2" xfId="3015"/>
    <cellStyle name="Примечание 6 2 2" xfId="3016"/>
    <cellStyle name="Примечание 6 2 2 2" xfId="3017"/>
    <cellStyle name="Примечание 6 2 2 2 2" xfId="3018"/>
    <cellStyle name="Примечание 6 2 2 2 3" xfId="3019"/>
    <cellStyle name="Примечание 6 2 2 3" xfId="3020"/>
    <cellStyle name="Примечание 6 2 2 3 2" xfId="3021"/>
    <cellStyle name="Примечание 6 2 2 3 3" xfId="3022"/>
    <cellStyle name="Примечание 6 2 2 4" xfId="3023"/>
    <cellStyle name="Примечание 6 2 2 4 2" xfId="3024"/>
    <cellStyle name="Примечание 6 2 2 4 3" xfId="3025"/>
    <cellStyle name="Примечание 6 2 2 5" xfId="3026"/>
    <cellStyle name="Примечание 6 2 2 6" xfId="3027"/>
    <cellStyle name="Примечание 6 2 3" xfId="3028"/>
    <cellStyle name="Примечание 6 2 3 2" xfId="3029"/>
    <cellStyle name="Примечание 6 2 3 2 2" xfId="3030"/>
    <cellStyle name="Примечание 6 2 3 2 3" xfId="3031"/>
    <cellStyle name="Примечание 6 2 3 3" xfId="3032"/>
    <cellStyle name="Примечание 6 2 3 3 2" xfId="3033"/>
    <cellStyle name="Примечание 6 2 3 3 3" xfId="3034"/>
    <cellStyle name="Примечание 6 2 3 4" xfId="3035"/>
    <cellStyle name="Примечание 6 2 3 4 2" xfId="3036"/>
    <cellStyle name="Примечание 6 2 3 4 3" xfId="3037"/>
    <cellStyle name="Примечание 6 2 3 5" xfId="3038"/>
    <cellStyle name="Примечание 6 2 3 6" xfId="3039"/>
    <cellStyle name="Примечание 6 2 4" xfId="3040"/>
    <cellStyle name="Примечание 6 2 4 2" xfId="3041"/>
    <cellStyle name="Примечание 6 2 4 2 2" xfId="3042"/>
    <cellStyle name="Примечание 6 2 4 2 3" xfId="3043"/>
    <cellStyle name="Примечание 6 2 4 3" xfId="3044"/>
    <cellStyle name="Примечание 6 2 4 3 2" xfId="3045"/>
    <cellStyle name="Примечание 6 2 4 3 3" xfId="3046"/>
    <cellStyle name="Примечание 6 2 4 4" xfId="3047"/>
    <cellStyle name="Примечание 6 2 4 4 2" xfId="3048"/>
    <cellStyle name="Примечание 6 2 4 4 3" xfId="3049"/>
    <cellStyle name="Примечание 6 2 4 5" xfId="3050"/>
    <cellStyle name="Примечание 6 2 4 6" xfId="3051"/>
    <cellStyle name="Примечание 6 2 5" xfId="3052"/>
    <cellStyle name="Примечание 6 2 5 2" xfId="3053"/>
    <cellStyle name="Примечание 6 2 5 3" xfId="3054"/>
    <cellStyle name="Примечание 6 2 6" xfId="3055"/>
    <cellStyle name="Примечание 6 2 6 2" xfId="3056"/>
    <cellStyle name="Примечание 6 2 6 3" xfId="3057"/>
    <cellStyle name="Примечание 6 2 7" xfId="3058"/>
    <cellStyle name="Примечание 6 2 7 2" xfId="3059"/>
    <cellStyle name="Примечание 6 2 7 3" xfId="3060"/>
    <cellStyle name="Примечание 6 2 8" xfId="3061"/>
    <cellStyle name="Примечание 6 2 9" xfId="3062"/>
    <cellStyle name="Примечание 6 3" xfId="3063"/>
    <cellStyle name="Примечание 6 3 2" xfId="3064"/>
    <cellStyle name="Примечание 6 3 2 2" xfId="3065"/>
    <cellStyle name="Примечание 6 3 2 3" xfId="3066"/>
    <cellStyle name="Примечание 6 3 3" xfId="3067"/>
    <cellStyle name="Примечание 6 3 3 2" xfId="3068"/>
    <cellStyle name="Примечание 6 3 3 3" xfId="3069"/>
    <cellStyle name="Примечание 6 3 4" xfId="3070"/>
    <cellStyle name="Примечание 6 3 4 2" xfId="3071"/>
    <cellStyle name="Примечание 6 3 4 3" xfId="3072"/>
    <cellStyle name="Примечание 6 3 5" xfId="3073"/>
    <cellStyle name="Примечание 6 3 6" xfId="3074"/>
    <cellStyle name="Примечание 6 4" xfId="3075"/>
    <cellStyle name="Примечание 6 4 2" xfId="3076"/>
    <cellStyle name="Примечание 6 4 2 2" xfId="3077"/>
    <cellStyle name="Примечание 6 4 2 3" xfId="3078"/>
    <cellStyle name="Примечание 6 4 3" xfId="3079"/>
    <cellStyle name="Примечание 6 4 3 2" xfId="3080"/>
    <cellStyle name="Примечание 6 4 3 3" xfId="3081"/>
    <cellStyle name="Примечание 6 4 4" xfId="3082"/>
    <cellStyle name="Примечание 6 4 4 2" xfId="3083"/>
    <cellStyle name="Примечание 6 4 4 3" xfId="3084"/>
    <cellStyle name="Примечание 6 4 5" xfId="3085"/>
    <cellStyle name="Примечание 6 4 6" xfId="3086"/>
    <cellStyle name="Примечание 6 5" xfId="3087"/>
    <cellStyle name="Примечание 6 5 2" xfId="3088"/>
    <cellStyle name="Примечание 6 5 2 2" xfId="3089"/>
    <cellStyle name="Примечание 6 5 2 3" xfId="3090"/>
    <cellStyle name="Примечание 6 5 3" xfId="3091"/>
    <cellStyle name="Примечание 6 5 3 2" xfId="3092"/>
    <cellStyle name="Примечание 6 5 3 3" xfId="3093"/>
    <cellStyle name="Примечание 6 5 4" xfId="3094"/>
    <cellStyle name="Примечание 6 5 4 2" xfId="3095"/>
    <cellStyle name="Примечание 6 5 4 3" xfId="3096"/>
    <cellStyle name="Примечание 6 5 5" xfId="3097"/>
    <cellStyle name="Примечание 6 5 6" xfId="3098"/>
    <cellStyle name="Примечание 6 6" xfId="3099"/>
    <cellStyle name="Примечание 6 6 2" xfId="3100"/>
    <cellStyle name="Примечание 6 6 3" xfId="3101"/>
    <cellStyle name="Примечание 6 7" xfId="3102"/>
    <cellStyle name="Примечание 6 7 2" xfId="3103"/>
    <cellStyle name="Примечание 6 7 3" xfId="3104"/>
    <cellStyle name="Примечание 6 8" xfId="3105"/>
    <cellStyle name="Примечание 6 8 2" xfId="3106"/>
    <cellStyle name="Примечание 6 8 3" xfId="3107"/>
    <cellStyle name="Примечание 6 9" xfId="3108"/>
    <cellStyle name="Примечание 7" xfId="3109"/>
    <cellStyle name="Примечание 7 2" xfId="3110"/>
    <cellStyle name="Примечание 7 2 2" xfId="3111"/>
    <cellStyle name="Примечание 7 2 2 2" xfId="3112"/>
    <cellStyle name="Примечание 7 2 2 3" xfId="3113"/>
    <cellStyle name="Примечание 7 2 3" xfId="3114"/>
    <cellStyle name="Примечание 7 2 3 2" xfId="3115"/>
    <cellStyle name="Примечание 7 2 3 3" xfId="3116"/>
    <cellStyle name="Примечание 7 2 4" xfId="3117"/>
    <cellStyle name="Примечание 7 2 4 2" xfId="3118"/>
    <cellStyle name="Примечание 7 2 4 3" xfId="3119"/>
    <cellStyle name="Примечание 7 2 5" xfId="3120"/>
    <cellStyle name="Примечание 7 2 6" xfId="3121"/>
    <cellStyle name="Примечание 7 3" xfId="3122"/>
    <cellStyle name="Примечание 7 3 2" xfId="3123"/>
    <cellStyle name="Примечание 7 3 2 2" xfId="3124"/>
    <cellStyle name="Примечание 7 3 2 3" xfId="3125"/>
    <cellStyle name="Примечание 7 3 3" xfId="3126"/>
    <cellStyle name="Примечание 7 3 3 2" xfId="3127"/>
    <cellStyle name="Примечание 7 3 3 3" xfId="3128"/>
    <cellStyle name="Примечание 7 3 4" xfId="3129"/>
    <cellStyle name="Примечание 7 3 4 2" xfId="3130"/>
    <cellStyle name="Примечание 7 3 4 3" xfId="3131"/>
    <cellStyle name="Примечание 7 3 5" xfId="3132"/>
    <cellStyle name="Примечание 7 3 6" xfId="3133"/>
    <cellStyle name="Примечание 7 4" xfId="3134"/>
    <cellStyle name="Примечание 7 4 2" xfId="3135"/>
    <cellStyle name="Примечание 7 4 2 2" xfId="3136"/>
    <cellStyle name="Примечание 7 4 2 3" xfId="3137"/>
    <cellStyle name="Примечание 7 4 3" xfId="3138"/>
    <cellStyle name="Примечание 7 4 3 2" xfId="3139"/>
    <cellStyle name="Примечание 7 4 3 3" xfId="3140"/>
    <cellStyle name="Примечание 7 4 4" xfId="3141"/>
    <cellStyle name="Примечание 7 4 4 2" xfId="3142"/>
    <cellStyle name="Примечание 7 4 4 3" xfId="3143"/>
    <cellStyle name="Примечание 7 4 5" xfId="3144"/>
    <cellStyle name="Примечание 7 4 6" xfId="3145"/>
    <cellStyle name="Примечание 7 5" xfId="3146"/>
    <cellStyle name="Примечание 7 5 2" xfId="3147"/>
    <cellStyle name="Примечание 7 5 3" xfId="3148"/>
    <cellStyle name="Примечание 7 6" xfId="3149"/>
    <cellStyle name="Примечание 7 6 2" xfId="3150"/>
    <cellStyle name="Примечание 7 6 3" xfId="3151"/>
    <cellStyle name="Примечание 7 7" xfId="3152"/>
    <cellStyle name="Примечание 7 7 2" xfId="3153"/>
    <cellStyle name="Примечание 7 7 3" xfId="3154"/>
    <cellStyle name="Примечание 7 8" xfId="3155"/>
    <cellStyle name="Примечание 7 9" xfId="3156"/>
    <cellStyle name="Примечание 8" xfId="3157"/>
    <cellStyle name="Примечание 8 2" xfId="3158"/>
    <cellStyle name="Примечание 8 2 2" xfId="3159"/>
    <cellStyle name="Примечание 8 2 3" xfId="3160"/>
    <cellStyle name="Примечание 8 3" xfId="3161"/>
    <cellStyle name="Примечание 8 3 2" xfId="3162"/>
    <cellStyle name="Примечание 8 3 3" xfId="3163"/>
    <cellStyle name="Процентный" xfId="1" builtinId="5"/>
    <cellStyle name="Процентный 2" xfId="5"/>
    <cellStyle name="Процентный 2 2" xfId="3165"/>
    <cellStyle name="Процентный 2 2 2" xfId="3166"/>
    <cellStyle name="Процентный 2 3" xfId="3167"/>
    <cellStyle name="Процентный 2 4" xfId="3168"/>
    <cellStyle name="Процентный 2 5" xfId="3164"/>
    <cellStyle name="Процентный 3" xfId="3169"/>
    <cellStyle name="Процентный 3 2" xfId="3170"/>
    <cellStyle name="Процентный 3 2 2" xfId="3171"/>
    <cellStyle name="Процентный 3 2 2 2" xfId="3172"/>
    <cellStyle name="Процентный 3 2 3" xfId="3173"/>
    <cellStyle name="Процентный 3 3" xfId="3174"/>
    <cellStyle name="Процентный 3 3 2" xfId="3175"/>
    <cellStyle name="Процентный 3 4" xfId="3176"/>
    <cellStyle name="Процентный 3 5" xfId="3177"/>
    <cellStyle name="Процентный 4" xfId="3178"/>
    <cellStyle name="Райцентр" xfId="3179"/>
    <cellStyle name="Стандартный" xfId="3180"/>
    <cellStyle name="Стиль 1" xfId="3181"/>
    <cellStyle name="Стиль 1 2" xfId="3182"/>
    <cellStyle name="Стиль 1 2 2" xfId="3183"/>
    <cellStyle name="Стиль 1_ТЭО проекта 75% PON в СПб_v7_300610_принят за базу (75%)" xfId="3184"/>
    <cellStyle name="Тысячи [0]_PR_KOMPL" xfId="3185"/>
    <cellStyle name="Тысячи_Абонемент" xfId="3186"/>
    <cellStyle name="Финансовый 2" xfId="3187"/>
    <cellStyle name="Финансовый 2 2" xfId="3188"/>
    <cellStyle name="Финансовый 3" xfId="3189"/>
    <cellStyle name="Финансовый 3 2" xfId="3190"/>
    <cellStyle name="Финансовый 3 2 2" xfId="3191"/>
    <cellStyle name="Финансовый 3 2 2 2" xfId="3192"/>
    <cellStyle name="Финансовый 3 2 3" xfId="3193"/>
    <cellStyle name="Финансовый 3 3" xfId="3194"/>
    <cellStyle name="Финансовый 3 3 2" xfId="3195"/>
    <cellStyle name="Финансовый 3 4" xfId="3196"/>
    <cellStyle name="Финансовый 3 5" xfId="3197"/>
    <cellStyle name="Финансовый 4" xfId="3198"/>
    <cellStyle name="Финансовый 4 2" xfId="3199"/>
    <cellStyle name="Финансовый 5" xfId="3200"/>
    <cellStyle name="Финансовый 5 2" xfId="3201"/>
    <cellStyle name="Финансовый 5 3" xfId="3202"/>
    <cellStyle name="Финансовый 6" xfId="3203"/>
    <cellStyle name="Финансовый 6 2" xfId="3204"/>
    <cellStyle name="Финансовый 7" xfId="3205"/>
    <cellStyle name="Финансовый 8" xfId="3206"/>
    <cellStyle name="э" xfId="3207"/>
    <cellStyle name="э__ОборотКЗП2 для БО" xfId="3208"/>
    <cellStyle name="э__ОборотКЗП2 для БО_Invest_11_факт_март_для КОРРЕКТИРОВКИ ПЛАНА" xfId="3209"/>
    <cellStyle name="э_Inv" xfId="3210"/>
    <cellStyle name="э_Inv_Invest_11_факт_март_для КОРРЕКТИРОВКИ ПЛАНА" xfId="3211"/>
    <cellStyle name="э_Invest_11_факт_март_для КОРРЕКТИРОВКИ ПЛАНА" xfId="3212"/>
    <cellStyle name="э_PL вспомог" xfId="3213"/>
    <cellStyle name="э_PL_СЗТ_2007_08.11.06" xfId="3214"/>
    <cellStyle name="э_PL_СЗТ_2007_08.11.06_Invest_11_факт_март_для КОРРЕКТИРОВКИ ПЛАНА" xfId="3215"/>
    <cellStyle name="э_PL_СЗТ_4 кв 2006" xfId="3216"/>
    <cellStyle name="э_PL_СЗТ_4 кв 2006_Invest_11_факт_март_для КОРРЕКТИРОВКИ ПЛАНА" xfId="3217"/>
    <cellStyle name="э_Бюджет_2007" xfId="3218"/>
    <cellStyle name="э_Бюджет_2007_Invest_11_факт_март_для КОРРЕКТИРОВКИ ПЛАНА" xfId="3219"/>
    <cellStyle name="э_ГД" xfId="3220"/>
    <cellStyle name="э_ГД_Invest_11_факт_март_для КОРРЕКТИРОВКИ ПЛАНА" xfId="3221"/>
    <cellStyle name="э_Кор-ки Инв" xfId="3222"/>
    <cellStyle name="э_Кор-ки Инв_Invest_11_факт_март_для КОРРЕКТИРОВКИ ПЛАНА" xfId="3223"/>
    <cellStyle name="э_СЗТ" xfId="3224"/>
    <cellStyle name="э_СЗТ_Invest_11_факт_март_для КОРРЕКТИРОВКИ ПЛАНА" xfId="3225"/>
    <cellStyle name="э_Утвержденный бюджет 27.06.05_ПТС" xfId="3226"/>
    <cellStyle name="э_Утвержденный бюджет 27.06.05_ПТС_Invest_11_факт_март_для КОРРЕКТИРОВКИ ПЛАНА" xfId="3227"/>
    <cellStyle name="常规_IRAQI" xfId="3228"/>
  </cellStyles>
  <dxfs count="0"/>
  <tableStyles count="0" defaultTableStyle="TableStyleMedium2" defaultPivotStyle="PivotStyleLight16"/>
  <colors>
    <mruColors>
      <color rgb="FFB67CC2"/>
      <color rgb="FFFFF2CC"/>
      <color rgb="FFD9EAD3"/>
      <color rgb="FFD0E0E3"/>
      <color rgb="FFEBF6F9"/>
      <color rgb="FFE4ECF4"/>
      <color rgb="FFD9BBDF"/>
      <color rgb="FF006600"/>
      <color rgb="FFB8CCE4"/>
      <color rgb="FF8C47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3</xdr:col>
      <xdr:colOff>27314</xdr:colOff>
      <xdr:row>216</xdr:row>
      <xdr:rowOff>384056</xdr:rowOff>
    </xdr:from>
    <xdr:ext cx="2927468" cy="215700"/>
    <mc:AlternateContent xmlns:mc="http://schemas.openxmlformats.org/markup-compatibility/2006" xmlns:a14="http://schemas.microsoft.com/office/drawing/2010/main">
      <mc:Choice Requires="a14">
        <xdr:sp macro="" textlink="">
          <xdr:nvSpPr>
            <xdr:cNvPr id="2" name="TextBox 1">
              <a:extLst>
                <a:ext uri="{FF2B5EF4-FFF2-40B4-BE49-F238E27FC236}">
                  <a16:creationId xmlns="" xmlns:a16="http://schemas.microsoft.com/office/drawing/2014/main" id="{00000000-0008-0000-0000-000002000000}"/>
                </a:ext>
              </a:extLst>
            </xdr:cNvPr>
            <xdr:cNvSpPr txBox="1"/>
          </xdr:nvSpPr>
          <xdr:spPr>
            <a:xfrm>
              <a:off x="4306760" y="219438645"/>
              <a:ext cx="2927468" cy="215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400" i="1">
                  <a:solidFill>
                    <a:schemeClr val="accent1">
                      <a:lumMod val="75000"/>
                    </a:schemeClr>
                  </a:solidFill>
                  <a:latin typeface="Consolas" panose="020B0609020204030204" pitchFamily="49" charset="0"/>
                  <a:cs typeface="Consolas" panose="020B0609020204030204" pitchFamily="49" charset="0"/>
                </a:rPr>
                <a:t>L</a:t>
              </a:r>
              <a:r>
                <a:rPr lang="en-US" sz="1400" i="1" baseline="0">
                  <a:solidFill>
                    <a:schemeClr val="accent1">
                      <a:lumMod val="75000"/>
                    </a:schemeClr>
                  </a:solidFill>
                  <a:latin typeface="Consolas" panose="020B0609020204030204" pitchFamily="49" charset="0"/>
                  <a:cs typeface="Consolas" panose="020B0609020204030204" pitchFamily="49" charset="0"/>
                </a:rPr>
                <a:t> </a:t>
              </a:r>
              <a:r>
                <a:rPr lang="ru-RU" sz="1400" i="1" baseline="0">
                  <a:solidFill>
                    <a:schemeClr val="accent1">
                      <a:lumMod val="75000"/>
                    </a:schemeClr>
                  </a:solidFill>
                  <a:latin typeface="Consolas" panose="020B0609020204030204" pitchFamily="49" charset="0"/>
                  <a:cs typeface="Consolas" panose="020B0609020204030204" pitchFamily="49" charset="0"/>
                </a:rPr>
                <a:t>опр.</a:t>
              </a:r>
              <a14:m>
                <m:oMath xmlns:m="http://schemas.openxmlformats.org/officeDocument/2006/math">
                  <m:r>
                    <a:rPr lang="en-US" sz="1400" i="1">
                      <a:solidFill>
                        <a:schemeClr val="accent1">
                          <a:lumMod val="75000"/>
                        </a:schemeClr>
                      </a:solidFill>
                      <a:latin typeface="Cambria Math" panose="02040503050406030204" pitchFamily="18" charset="0"/>
                    </a:rPr>
                    <m:t>=</m:t>
                  </m:r>
                  <m:r>
                    <a:rPr lang="en-US" sz="1400" b="0" i="1">
                      <a:solidFill>
                        <a:schemeClr val="accent1">
                          <a:lumMod val="75000"/>
                        </a:schemeClr>
                      </a:solidFill>
                      <a:latin typeface="Cambria Math" panose="02040503050406030204" pitchFamily="18" charset="0"/>
                    </a:rPr>
                    <m:t>(</m:t>
                  </m:r>
                  <m:nary>
                    <m:naryPr>
                      <m:chr m:val="∑"/>
                      <m:ctrlPr>
                        <a:rPr lang="en-US" sz="1400" i="1">
                          <a:solidFill>
                            <a:schemeClr val="accent1">
                              <a:lumMod val="75000"/>
                            </a:schemeClr>
                          </a:solidFill>
                          <a:latin typeface="Cambria Math" panose="02040503050406030204" pitchFamily="18" charset="0"/>
                        </a:rPr>
                      </m:ctrlPr>
                    </m:naryPr>
                    <m:sub>
                      <m:r>
                        <a:rPr lang="en-US" sz="1400" i="1">
                          <a:solidFill>
                            <a:schemeClr val="accent1">
                              <a:lumMod val="75000"/>
                            </a:schemeClr>
                          </a:solidFill>
                          <a:latin typeface="Cambria Math" panose="02040503050406030204" pitchFamily="18" charset="0"/>
                        </a:rPr>
                        <m:t>𝑘</m:t>
                      </m:r>
                      <m:r>
                        <a:rPr lang="en-US" sz="1400" i="1">
                          <a:solidFill>
                            <a:schemeClr val="accent1">
                              <a:lumMod val="75000"/>
                            </a:schemeClr>
                          </a:solidFill>
                          <a:latin typeface="Cambria Math" panose="02040503050406030204" pitchFamily="18" charset="0"/>
                        </a:rPr>
                        <m:t>=1</m:t>
                      </m:r>
                    </m:sub>
                    <m:sup>
                      <m:r>
                        <a:rPr lang="en-US" sz="1400" i="1">
                          <a:solidFill>
                            <a:schemeClr val="accent1">
                              <a:lumMod val="75000"/>
                            </a:schemeClr>
                          </a:solidFill>
                          <a:latin typeface="Cambria Math" panose="02040503050406030204" pitchFamily="18" charset="0"/>
                        </a:rPr>
                        <m:t>𝑛</m:t>
                      </m:r>
                    </m:sup>
                    <m:e>
                      <m:r>
                        <a:rPr lang="ru-RU" sz="1400" b="0" i="1">
                          <a:solidFill>
                            <a:schemeClr val="accent1">
                              <a:lumMod val="75000"/>
                            </a:schemeClr>
                          </a:solidFill>
                          <a:latin typeface="Cambria Math" panose="02040503050406030204" pitchFamily="18" charset="0"/>
                        </a:rPr>
                        <m:t> </m:t>
                      </m:r>
                      <m:sSub>
                        <m:sSubPr>
                          <m:ctrlPr>
                            <a:rPr lang="en-US" sz="1400" b="0" i="1">
                              <a:solidFill>
                                <a:schemeClr val="accent1">
                                  <a:lumMod val="75000"/>
                                </a:schemeClr>
                              </a:solidFill>
                              <a:latin typeface="Cambria Math" panose="02040503050406030204" pitchFamily="18" charset="0"/>
                            </a:rPr>
                          </m:ctrlPr>
                        </m:sSubPr>
                        <m:e>
                          <m:r>
                            <a:rPr lang="en-US" sz="1400" b="0" i="1">
                              <a:solidFill>
                                <a:schemeClr val="accent1">
                                  <a:lumMod val="75000"/>
                                </a:schemeClr>
                              </a:solidFill>
                              <a:latin typeface="Cambria Math" panose="02040503050406030204" pitchFamily="18" charset="0"/>
                            </a:rPr>
                            <m:t>𝐿</m:t>
                          </m:r>
                        </m:e>
                        <m:sub>
                          <m:r>
                            <a:rPr lang="en-US" sz="1400" b="0" i="1">
                              <a:solidFill>
                                <a:schemeClr val="accent1">
                                  <a:lumMod val="75000"/>
                                </a:schemeClr>
                              </a:solidFill>
                              <a:latin typeface="Cambria Math" panose="02040503050406030204" pitchFamily="18" charset="0"/>
                            </a:rPr>
                            <m:t>𝑘</m:t>
                          </m:r>
                        </m:sub>
                      </m:sSub>
                      <m:r>
                        <a:rPr lang="en-US" sz="1400" b="0" i="1">
                          <a:solidFill>
                            <a:schemeClr val="accent1">
                              <a:lumMod val="75000"/>
                            </a:schemeClr>
                          </a:solidFill>
                          <a:latin typeface="Cambria Math" panose="02040503050406030204" pitchFamily="18" charset="0"/>
                        </a:rPr>
                        <m:t> +</m:t>
                      </m:r>
                      <m:sSub>
                        <m:sSubPr>
                          <m:ctrlP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ctrlPr>
                        </m:sSubPr>
                        <m:e>
                          <m: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𝐿</m:t>
                          </m:r>
                        </m:e>
                        <m:sub>
                          <m:r>
                            <a:rPr kumimoji="0" lang="ru-RU"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осн. </m:t>
                          </m:r>
                        </m:sub>
                      </m:sSub>
                      <m: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m:t>
                      </m:r>
                      <m:r>
                        <a:rPr kumimoji="0" lang="ru-RU"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−500</m:t>
                      </m:r>
                      <m:r>
                        <a:rPr kumimoji="0" lang="ru-RU"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m:t>∙</m:t>
                      </m:r>
                      <m: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m:t>𝑛</m:t>
                      </m:r>
                    </m:e>
                  </m:nary>
                </m:oMath>
              </a14:m>
              <a:endParaRPr lang="ru-RU" sz="1400" i="1">
                <a:solidFill>
                  <a:schemeClr val="accent1">
                    <a:lumMod val="75000"/>
                  </a:schemeClr>
                </a:solidFill>
                <a:latin typeface="Consolas" panose="020B0609020204030204" pitchFamily="49" charset="0"/>
                <a:cs typeface="Consolas" panose="020B0609020204030204" pitchFamily="49" charset="0"/>
              </a:endParaRPr>
            </a:p>
          </xdr:txBody>
        </xdr:sp>
      </mc:Choice>
      <mc:Fallback xmlns="">
        <xdr:sp macro="" textlink="">
          <xdr:nvSpPr>
            <xdr:cNvPr id="2" name="TextBox 1"/>
            <xdr:cNvSpPr txBox="1"/>
          </xdr:nvSpPr>
          <xdr:spPr>
            <a:xfrm>
              <a:off x="4306760" y="219438645"/>
              <a:ext cx="2927468" cy="215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400" i="1">
                  <a:solidFill>
                    <a:schemeClr val="accent1">
                      <a:lumMod val="75000"/>
                    </a:schemeClr>
                  </a:solidFill>
                  <a:latin typeface="Consolas" panose="020B0609020204030204" pitchFamily="49" charset="0"/>
                  <a:cs typeface="Consolas" panose="020B0609020204030204" pitchFamily="49" charset="0"/>
                </a:rPr>
                <a:t>L</a:t>
              </a:r>
              <a:r>
                <a:rPr lang="en-US" sz="1400" i="1" baseline="0">
                  <a:solidFill>
                    <a:schemeClr val="accent1">
                      <a:lumMod val="75000"/>
                    </a:schemeClr>
                  </a:solidFill>
                  <a:latin typeface="Consolas" panose="020B0609020204030204" pitchFamily="49" charset="0"/>
                  <a:cs typeface="Consolas" panose="020B0609020204030204" pitchFamily="49" charset="0"/>
                </a:rPr>
                <a:t> </a:t>
              </a:r>
              <a:r>
                <a:rPr lang="ru-RU" sz="1400" i="1" baseline="0">
                  <a:solidFill>
                    <a:schemeClr val="accent1">
                      <a:lumMod val="75000"/>
                    </a:schemeClr>
                  </a:solidFill>
                  <a:latin typeface="Consolas" panose="020B0609020204030204" pitchFamily="49" charset="0"/>
                  <a:cs typeface="Consolas" panose="020B0609020204030204" pitchFamily="49" charset="0"/>
                </a:rPr>
                <a:t>опр.</a:t>
              </a:r>
              <a:r>
                <a:rPr lang="en-US" sz="1400" i="0">
                  <a:solidFill>
                    <a:schemeClr val="accent1">
                      <a:lumMod val="75000"/>
                    </a:schemeClr>
                  </a:solidFill>
                  <a:latin typeface="Cambria Math" panose="02040503050406030204" pitchFamily="18" charset="0"/>
                </a:rPr>
                <a:t>=</a:t>
              </a:r>
              <a:r>
                <a:rPr lang="en-US" sz="1400" b="0" i="0">
                  <a:solidFill>
                    <a:schemeClr val="accent1">
                      <a:lumMod val="75000"/>
                    </a:schemeClr>
                  </a:solidFill>
                  <a:latin typeface="Cambria Math" panose="02040503050406030204" pitchFamily="18" charset="0"/>
                </a:rPr>
                <a:t>(</a:t>
              </a:r>
              <a:r>
                <a:rPr lang="en-US" sz="1400" i="0">
                  <a:solidFill>
                    <a:schemeClr val="accent1">
                      <a:lumMod val="75000"/>
                    </a:schemeClr>
                  </a:solidFill>
                  <a:latin typeface="Cambria Math" panose="02040503050406030204" pitchFamily="18" charset="0"/>
                </a:rPr>
                <a:t>∑_(𝑘=1)^𝑛</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a:t>▒〖</a:t>
              </a:r>
              <a:r>
                <a:rPr lang="ru-RU" sz="1400" b="0" i="0">
                  <a:solidFill>
                    <a:schemeClr val="accent1">
                      <a:lumMod val="75000"/>
                    </a:schemeClr>
                  </a:solidFill>
                  <a:latin typeface="Cambria Math" panose="02040503050406030204" pitchFamily="18" charset="0"/>
                </a:rPr>
                <a:t> </a:t>
              </a:r>
              <a:r>
                <a:rPr lang="en-US" sz="1400" b="0" i="0">
                  <a:solidFill>
                    <a:schemeClr val="accent1">
                      <a:lumMod val="75000"/>
                    </a:schemeClr>
                  </a:solidFill>
                  <a:latin typeface="Cambria Math" panose="02040503050406030204" pitchFamily="18" charset="0"/>
                </a:rPr>
                <a:t>𝐿_𝑘  +</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𝐿_(</a:t>
              </a:r>
              <a:r>
                <a:rPr kumimoji="0" lang="ru-RU"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осн. </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a:t>
              </a:r>
              <a:r>
                <a:rPr kumimoji="0" lang="ru-RU"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−500</a:t>
              </a:r>
              <a:r>
                <a:rPr kumimoji="0" lang="ru-RU"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a:t>∙</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a:t>𝑛〗</a:t>
              </a:r>
              <a:endParaRPr lang="ru-RU" sz="1400" i="1">
                <a:solidFill>
                  <a:schemeClr val="accent1">
                    <a:lumMod val="75000"/>
                  </a:schemeClr>
                </a:solidFill>
                <a:latin typeface="Consolas" panose="020B0609020204030204" pitchFamily="49" charset="0"/>
                <a:cs typeface="Consolas" panose="020B0609020204030204" pitchFamily="49" charset="0"/>
              </a:endParaRPr>
            </a:p>
          </xdr:txBody>
        </xdr:sp>
      </mc:Fallback>
    </mc:AlternateContent>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autoPageBreaks="0" fitToPage="1"/>
  </sheetPr>
  <dimension ref="A1:W240"/>
  <sheetViews>
    <sheetView tabSelected="1" zoomScale="90" zoomScaleNormal="90" workbookViewId="0">
      <selection activeCell="E17" sqref="E17"/>
    </sheetView>
  </sheetViews>
  <sheetFormatPr defaultColWidth="9.140625" defaultRowHeight="18.75"/>
  <cols>
    <col min="1" max="1" width="5" style="3" customWidth="1"/>
    <col min="2" max="2" width="8.140625" style="43" customWidth="1"/>
    <col min="3" max="3" width="51" style="50" customWidth="1"/>
    <col min="4" max="4" width="12.42578125" style="1" customWidth="1"/>
    <col min="5" max="5" width="54.85546875" style="1" customWidth="1"/>
    <col min="6" max="6" width="12.42578125" style="1" customWidth="1"/>
    <col min="7" max="7" width="14" style="1" customWidth="1"/>
    <col min="8" max="8" width="11.7109375" style="1" customWidth="1"/>
    <col min="9" max="9" width="9.42578125" customWidth="1"/>
    <col min="10" max="10" width="10.28515625" customWidth="1"/>
    <col min="11" max="11" width="13.7109375" customWidth="1"/>
    <col min="12" max="12" width="17.42578125" customWidth="1"/>
    <col min="13" max="13" width="16.140625" customWidth="1"/>
    <col min="14" max="14" width="9.140625" customWidth="1"/>
    <col min="15" max="15" width="15.42578125" customWidth="1"/>
    <col min="16" max="16" width="6.28515625" customWidth="1"/>
    <col min="17" max="17" width="16.42578125" customWidth="1"/>
    <col min="18" max="18" width="11.85546875" customWidth="1"/>
    <col min="19" max="19" width="11.28515625" customWidth="1"/>
    <col min="20" max="20" width="9.140625" style="138" customWidth="1"/>
    <col min="21" max="21" width="9.140625" style="138"/>
    <col min="22" max="16384" width="9.140625" style="1"/>
  </cols>
  <sheetData>
    <row r="1" spans="1:8" ht="15.75">
      <c r="A1" s="205" t="s">
        <v>445</v>
      </c>
      <c r="B1" s="205"/>
      <c r="C1" s="205"/>
      <c r="D1" s="205"/>
      <c r="E1" s="205"/>
    </row>
    <row r="3" spans="1:8" ht="12.75" customHeight="1">
      <c r="A3" s="21"/>
      <c r="B3" s="245"/>
      <c r="C3" s="245"/>
      <c r="D3" s="245"/>
      <c r="E3" s="245"/>
      <c r="F3" s="245"/>
      <c r="G3" s="245"/>
      <c r="H3" s="245"/>
    </row>
    <row r="4" spans="1:8" ht="12.75" customHeight="1">
      <c r="A4" s="263" t="s">
        <v>50</v>
      </c>
      <c r="B4" s="263"/>
      <c r="C4" s="263"/>
      <c r="D4" s="264"/>
      <c r="E4" s="284"/>
      <c r="F4" s="284"/>
      <c r="G4" s="284"/>
      <c r="H4" s="284"/>
    </row>
    <row r="5" spans="1:8" ht="11.25" customHeight="1">
      <c r="A5" s="263"/>
      <c r="B5" s="263"/>
      <c r="C5" s="263"/>
      <c r="D5" s="264"/>
      <c r="E5" s="285"/>
      <c r="F5" s="286"/>
      <c r="G5" s="286"/>
      <c r="H5" s="287"/>
    </row>
    <row r="6" spans="1:8" ht="7.5" customHeight="1" thickBot="1">
      <c r="A6" s="263"/>
      <c r="B6" s="263"/>
      <c r="C6" s="263"/>
      <c r="D6" s="264"/>
      <c r="E6" s="22"/>
      <c r="F6" s="289"/>
      <c r="G6" s="289"/>
      <c r="H6" s="290"/>
    </row>
    <row r="7" spans="1:8" ht="36" customHeight="1" thickTop="1" thickBot="1">
      <c r="A7" s="273"/>
      <c r="B7" s="274"/>
      <c r="C7" s="275" t="s">
        <v>444</v>
      </c>
      <c r="D7" s="275"/>
      <c r="E7" s="275"/>
      <c r="F7" s="275"/>
      <c r="G7" s="275"/>
      <c r="H7" s="275"/>
    </row>
    <row r="8" spans="1:8" ht="10.5" customHeight="1" thickTop="1">
      <c r="A8" s="276"/>
      <c r="B8" s="277"/>
      <c r="C8" s="277"/>
      <c r="D8" s="277"/>
      <c r="E8" s="277"/>
      <c r="F8" s="277"/>
      <c r="G8" s="277"/>
      <c r="H8" s="278"/>
    </row>
    <row r="9" spans="1:8" ht="6" customHeight="1">
      <c r="A9" s="279"/>
      <c r="B9" s="280"/>
      <c r="C9" s="280"/>
      <c r="D9" s="280"/>
      <c r="E9" s="280"/>
      <c r="F9" s="280"/>
      <c r="G9" s="280"/>
      <c r="H9" s="281"/>
    </row>
    <row r="10" spans="1:8" ht="27.6" customHeight="1">
      <c r="A10" s="319"/>
      <c r="B10" s="328" t="s">
        <v>175</v>
      </c>
      <c r="C10" s="330" t="s">
        <v>0</v>
      </c>
      <c r="D10" s="332" t="s">
        <v>1</v>
      </c>
      <c r="E10" s="334" t="s">
        <v>2</v>
      </c>
      <c r="F10" s="336" t="s">
        <v>3</v>
      </c>
      <c r="G10" s="336"/>
      <c r="H10" s="337"/>
    </row>
    <row r="11" spans="1:8" ht="22.5" customHeight="1" thickBot="1">
      <c r="A11" s="320"/>
      <c r="B11" s="329"/>
      <c r="C11" s="331"/>
      <c r="D11" s="333"/>
      <c r="E11" s="335"/>
      <c r="F11" s="338" t="s">
        <v>28</v>
      </c>
      <c r="G11" s="338"/>
      <c r="H11" s="19" t="s">
        <v>80</v>
      </c>
    </row>
    <row r="12" spans="1:8" ht="24.6" customHeight="1" thickTop="1">
      <c r="A12" s="249" t="s">
        <v>92</v>
      </c>
      <c r="B12" s="250"/>
      <c r="C12" s="250"/>
      <c r="D12" s="250"/>
      <c r="E12" s="250"/>
      <c r="F12" s="24"/>
      <c r="G12" s="255" t="s">
        <v>103</v>
      </c>
      <c r="H12" s="256"/>
    </row>
    <row r="13" spans="1:8" ht="27" customHeight="1" thickBot="1">
      <c r="A13" s="251"/>
      <c r="B13" s="252"/>
      <c r="C13" s="252"/>
      <c r="D13" s="252"/>
      <c r="E13" s="252"/>
      <c r="F13" s="25"/>
      <c r="G13" s="253">
        <v>1</v>
      </c>
      <c r="H13" s="254"/>
    </row>
    <row r="14" spans="1:8" ht="15.75" customHeight="1" thickTop="1">
      <c r="A14" s="32"/>
      <c r="B14" s="323" t="s">
        <v>143</v>
      </c>
      <c r="C14" s="323"/>
      <c r="D14" s="323"/>
      <c r="E14" s="323"/>
      <c r="F14" s="323"/>
      <c r="G14" s="33"/>
      <c r="H14" s="33"/>
    </row>
    <row r="15" spans="1:8" ht="76.900000000000006" customHeight="1">
      <c r="A15" s="321"/>
      <c r="B15" s="119">
        <v>100</v>
      </c>
      <c r="C15" s="107" t="s">
        <v>276</v>
      </c>
      <c r="D15" s="108"/>
      <c r="E15" s="23" t="s">
        <v>333</v>
      </c>
      <c r="F15" s="109" t="s">
        <v>30</v>
      </c>
      <c r="G15" s="282" t="s">
        <v>29</v>
      </c>
      <c r="H15" s="283"/>
    </row>
    <row r="16" spans="1:8" ht="99.6" customHeight="1">
      <c r="A16" s="321"/>
      <c r="B16" s="185" t="s">
        <v>55</v>
      </c>
      <c r="C16" s="142" t="s">
        <v>277</v>
      </c>
      <c r="D16" s="110" t="s">
        <v>4</v>
      </c>
      <c r="E16" s="142" t="s">
        <v>334</v>
      </c>
      <c r="F16" s="64">
        <f>G13*5105.3</f>
        <v>5105.3</v>
      </c>
      <c r="G16" s="64">
        <f>G13*3098.786</f>
        <v>3098.7860000000001</v>
      </c>
      <c r="H16" s="64">
        <f>G13*142.3005</f>
        <v>142.3005</v>
      </c>
    </row>
    <row r="17" spans="1:8" ht="26.45" customHeight="1">
      <c r="A17" s="321"/>
      <c r="B17" s="185" t="s">
        <v>391</v>
      </c>
      <c r="C17" s="186" t="s">
        <v>393</v>
      </c>
      <c r="D17" s="143" t="s">
        <v>4</v>
      </c>
      <c r="E17" s="144" t="s">
        <v>392</v>
      </c>
      <c r="F17" s="145">
        <f>G13*4865.824</f>
        <v>4865.8239999999996</v>
      </c>
      <c r="G17" s="145">
        <f>G13*2859.31</f>
        <v>2859.31</v>
      </c>
      <c r="H17" s="145">
        <f>G13*142.3005</f>
        <v>142.3005</v>
      </c>
    </row>
    <row r="18" spans="1:8" ht="99" customHeight="1">
      <c r="A18" s="321"/>
      <c r="B18" s="185" t="s">
        <v>56</v>
      </c>
      <c r="C18" s="142" t="s">
        <v>278</v>
      </c>
      <c r="D18" s="110" t="s">
        <v>4</v>
      </c>
      <c r="E18" s="142" t="s">
        <v>148</v>
      </c>
      <c r="F18" s="64">
        <f>G13*3752.5</f>
        <v>3752.5</v>
      </c>
      <c r="G18" s="64">
        <f>G13*2646.339</f>
        <v>2646.3389999999999</v>
      </c>
      <c r="H18" s="64">
        <f>G13*144.5615</f>
        <v>144.5615</v>
      </c>
    </row>
    <row r="19" spans="1:8" ht="25.9" customHeight="1">
      <c r="A19" s="321"/>
      <c r="B19" s="185" t="s">
        <v>394</v>
      </c>
      <c r="C19" s="186" t="s">
        <v>395</v>
      </c>
      <c r="D19" s="110" t="s">
        <v>4</v>
      </c>
      <c r="E19" s="144" t="s">
        <v>392</v>
      </c>
      <c r="F19" s="145">
        <f>G13*3513.024</f>
        <v>3513.0239999999999</v>
      </c>
      <c r="G19" s="145">
        <f>G13*2406.863</f>
        <v>2406.8629999999998</v>
      </c>
      <c r="H19" s="145">
        <f>G13*144.5615</f>
        <v>144.5615</v>
      </c>
    </row>
    <row r="20" spans="1:8" ht="95.45" customHeight="1">
      <c r="A20" s="321"/>
      <c r="B20" s="185" t="s">
        <v>57</v>
      </c>
      <c r="C20" s="142" t="s">
        <v>279</v>
      </c>
      <c r="D20" s="110" t="s">
        <v>4</v>
      </c>
      <c r="E20" s="142" t="s">
        <v>148</v>
      </c>
      <c r="F20" s="64">
        <f>G13*2614.4</f>
        <v>2614.4</v>
      </c>
      <c r="G20" s="64">
        <f>G13*2046.1575</f>
        <v>2046.1575</v>
      </c>
      <c r="H20" s="64">
        <f>G13*180.9845</f>
        <v>180.9845</v>
      </c>
    </row>
    <row r="21" spans="1:8" ht="28.9" customHeight="1">
      <c r="A21" s="321"/>
      <c r="B21" s="185" t="s">
        <v>396</v>
      </c>
      <c r="C21" s="186" t="s">
        <v>397</v>
      </c>
      <c r="D21" s="143" t="s">
        <v>4</v>
      </c>
      <c r="E21" s="144" t="s">
        <v>392</v>
      </c>
      <c r="F21" s="145">
        <f>G13*2374.924</f>
        <v>2374.924</v>
      </c>
      <c r="G21" s="145">
        <f>G13*1806.6815</f>
        <v>1806.6814999999999</v>
      </c>
      <c r="H21" s="145">
        <f>G13*180.9845</f>
        <v>180.9845</v>
      </c>
    </row>
    <row r="22" spans="1:8" ht="112.5" customHeight="1">
      <c r="A22" s="321"/>
      <c r="B22" s="185" t="s">
        <v>58</v>
      </c>
      <c r="C22" s="142" t="s">
        <v>280</v>
      </c>
      <c r="D22" s="110" t="s">
        <v>4</v>
      </c>
      <c r="E22" s="146" t="s">
        <v>148</v>
      </c>
      <c r="F22" s="64">
        <f>G13*2383.55</f>
        <v>2383.5500000000002</v>
      </c>
      <c r="G22" s="64">
        <f>G13*1898.4325</f>
        <v>1898.4324999999999</v>
      </c>
      <c r="H22" s="64">
        <f>G13*215.1465</f>
        <v>215.1465</v>
      </c>
    </row>
    <row r="23" spans="1:8" ht="30.6" customHeight="1">
      <c r="A23" s="321"/>
      <c r="B23" s="185" t="s">
        <v>398</v>
      </c>
      <c r="C23" s="186" t="s">
        <v>399</v>
      </c>
      <c r="D23" s="143" t="s">
        <v>4</v>
      </c>
      <c r="E23" s="147" t="s">
        <v>392</v>
      </c>
      <c r="F23" s="145">
        <f>G13*2144.074</f>
        <v>2144.0740000000001</v>
      </c>
      <c r="G23" s="145">
        <f>G13*1658.9565</f>
        <v>1658.9565</v>
      </c>
      <c r="H23" s="145">
        <f>G13*215.1465</f>
        <v>215.1465</v>
      </c>
    </row>
    <row r="24" spans="1:8" ht="103.5" customHeight="1">
      <c r="A24" s="321"/>
      <c r="B24" s="187">
        <v>101</v>
      </c>
      <c r="C24" s="141" t="s">
        <v>281</v>
      </c>
      <c r="D24" s="63"/>
      <c r="E24" s="51" t="s">
        <v>150</v>
      </c>
      <c r="F24" s="64"/>
      <c r="G24" s="64"/>
      <c r="H24" s="64"/>
    </row>
    <row r="25" spans="1:8" ht="100.9" customHeight="1">
      <c r="A25" s="321"/>
      <c r="B25" s="185" t="s">
        <v>59</v>
      </c>
      <c r="C25" s="142" t="s">
        <v>282</v>
      </c>
      <c r="D25" s="110" t="s">
        <v>4</v>
      </c>
      <c r="E25" s="142" t="s">
        <v>149</v>
      </c>
      <c r="F25" s="64">
        <f>G13*6099.95</f>
        <v>6099.95</v>
      </c>
      <c r="G25" s="64">
        <f>G13*5110.05</f>
        <v>5110.05</v>
      </c>
      <c r="H25" s="64">
        <f>G13*169.1</f>
        <v>169.1</v>
      </c>
    </row>
    <row r="26" spans="1:8" ht="27.6" customHeight="1">
      <c r="A26" s="321"/>
      <c r="B26" s="185" t="s">
        <v>400</v>
      </c>
      <c r="C26" s="186" t="s">
        <v>401</v>
      </c>
      <c r="D26" s="143" t="s">
        <v>4</v>
      </c>
      <c r="E26" s="144" t="s">
        <v>392</v>
      </c>
      <c r="F26" s="145">
        <f>G13*5860.474</f>
        <v>5860.4740000000002</v>
      </c>
      <c r="G26" s="145">
        <f>G13*4870.574</f>
        <v>4870.5739999999996</v>
      </c>
      <c r="H26" s="145">
        <f>G13*169.1</f>
        <v>169.1</v>
      </c>
    </row>
    <row r="27" spans="1:8" ht="103.15" customHeight="1">
      <c r="A27" s="321"/>
      <c r="B27" s="185" t="s">
        <v>60</v>
      </c>
      <c r="C27" s="142" t="s">
        <v>278</v>
      </c>
      <c r="D27" s="110" t="s">
        <v>4</v>
      </c>
      <c r="E27" s="142" t="s">
        <v>148</v>
      </c>
      <c r="F27" s="64">
        <f>G13*5415</f>
        <v>5415</v>
      </c>
      <c r="G27" s="64">
        <f>G13*4554.3</f>
        <v>4554.3</v>
      </c>
      <c r="H27" s="64">
        <f>G13*173.85</f>
        <v>173.85</v>
      </c>
    </row>
    <row r="28" spans="1:8" ht="24" customHeight="1">
      <c r="A28" s="321"/>
      <c r="B28" s="185" t="s">
        <v>402</v>
      </c>
      <c r="C28" s="186" t="s">
        <v>395</v>
      </c>
      <c r="D28" s="143" t="s">
        <v>4</v>
      </c>
      <c r="E28" s="144" t="s">
        <v>392</v>
      </c>
      <c r="F28" s="145">
        <f>G13*5175.524</f>
        <v>5175.5240000000003</v>
      </c>
      <c r="G28" s="145">
        <f>G13*4314.824</f>
        <v>4314.8239999999996</v>
      </c>
      <c r="H28" s="145">
        <f>G13*173.85</f>
        <v>173.85</v>
      </c>
    </row>
    <row r="29" spans="1:8" ht="102" customHeight="1">
      <c r="A29" s="321"/>
      <c r="B29" s="185" t="s">
        <v>61</v>
      </c>
      <c r="C29" s="142" t="s">
        <v>283</v>
      </c>
      <c r="D29" s="110" t="s">
        <v>4</v>
      </c>
      <c r="E29" s="142" t="s">
        <v>149</v>
      </c>
      <c r="F29" s="64">
        <f>G13*3060.9</f>
        <v>3060.9</v>
      </c>
      <c r="G29" s="64">
        <f>G13*2469.05</f>
        <v>2469.0500000000002</v>
      </c>
      <c r="H29" s="64">
        <f>G13*145.35</f>
        <v>145.35</v>
      </c>
    </row>
    <row r="30" spans="1:8" ht="28.9" customHeight="1">
      <c r="A30" s="321"/>
      <c r="B30" s="185" t="s">
        <v>403</v>
      </c>
      <c r="C30" s="186" t="s">
        <v>404</v>
      </c>
      <c r="D30" s="143" t="s">
        <v>4</v>
      </c>
      <c r="E30" s="144" t="s">
        <v>392</v>
      </c>
      <c r="F30" s="145">
        <f>G13*2821.424</f>
        <v>2821.424</v>
      </c>
      <c r="G30" s="145">
        <f>G13*2229.574</f>
        <v>2229.5740000000001</v>
      </c>
      <c r="H30" s="145">
        <f>G13*145.35</f>
        <v>145.35</v>
      </c>
    </row>
    <row r="31" spans="1:8" ht="97.9" customHeight="1">
      <c r="A31" s="321"/>
      <c r="B31" s="185" t="s">
        <v>62</v>
      </c>
      <c r="C31" s="142" t="s">
        <v>284</v>
      </c>
      <c r="D31" s="110" t="s">
        <v>4</v>
      </c>
      <c r="E31" s="142" t="s">
        <v>149</v>
      </c>
      <c r="F31" s="64">
        <f>G13*2277.15</f>
        <v>2277.15</v>
      </c>
      <c r="G31" s="64">
        <f>G13*1787.9</f>
        <v>1787.9</v>
      </c>
      <c r="H31" s="64">
        <f>G13*138.7</f>
        <v>138.69999999999999</v>
      </c>
    </row>
    <row r="32" spans="1:8" ht="22.9" customHeight="1">
      <c r="A32" s="321"/>
      <c r="B32" s="185" t="s">
        <v>405</v>
      </c>
      <c r="C32" s="186" t="s">
        <v>406</v>
      </c>
      <c r="D32" s="143" t="s">
        <v>4</v>
      </c>
      <c r="E32" s="144" t="s">
        <v>392</v>
      </c>
      <c r="F32" s="145">
        <f>G13*2037.674</f>
        <v>2037.674</v>
      </c>
      <c r="G32" s="145">
        <f>G13*1548.424</f>
        <v>1548.424</v>
      </c>
      <c r="H32" s="145">
        <f>G13*138.7</f>
        <v>138.69999999999999</v>
      </c>
    </row>
    <row r="33" spans="1:22" ht="25.9" customHeight="1">
      <c r="A33" s="321"/>
      <c r="B33" s="291" t="s">
        <v>154</v>
      </c>
      <c r="C33" s="292"/>
      <c r="D33" s="292"/>
      <c r="E33" s="292"/>
      <c r="F33" s="293"/>
      <c r="G33" s="148"/>
      <c r="H33" s="148"/>
    </row>
    <row r="34" spans="1:22" ht="36">
      <c r="A34" s="321"/>
      <c r="B34" s="121">
        <v>102</v>
      </c>
      <c r="C34" s="106" t="s">
        <v>48</v>
      </c>
      <c r="D34" s="110"/>
      <c r="E34" s="294" t="s">
        <v>302</v>
      </c>
      <c r="F34" s="295"/>
      <c r="G34" s="64"/>
      <c r="H34" s="64"/>
    </row>
    <row r="35" spans="1:22" ht="52.15" customHeight="1">
      <c r="A35" s="321"/>
      <c r="B35" s="185" t="s">
        <v>63</v>
      </c>
      <c r="C35" s="142" t="s">
        <v>442</v>
      </c>
      <c r="D35" s="110" t="s">
        <v>18</v>
      </c>
      <c r="E35" s="210" t="s">
        <v>441</v>
      </c>
      <c r="F35" s="211"/>
      <c r="G35" s="64">
        <f>G13*130.15</f>
        <v>130.15</v>
      </c>
      <c r="H35" s="64">
        <f>G13*14.3165</f>
        <v>14.3165</v>
      </c>
    </row>
    <row r="36" spans="1:22" ht="62.45" customHeight="1">
      <c r="A36" s="321"/>
      <c r="B36" s="185" t="s">
        <v>64</v>
      </c>
      <c r="C36" s="142" t="s">
        <v>440</v>
      </c>
      <c r="D36" s="110" t="s">
        <v>18</v>
      </c>
      <c r="E36" s="212"/>
      <c r="F36" s="213"/>
      <c r="G36" s="64">
        <f>G13*190</f>
        <v>190</v>
      </c>
      <c r="H36" s="64">
        <f>G13*20.9</f>
        <v>20.9</v>
      </c>
    </row>
    <row r="37" spans="1:22" ht="257.45" customHeight="1">
      <c r="A37" s="321"/>
      <c r="B37" s="120">
        <v>103</v>
      </c>
      <c r="C37" s="111" t="s">
        <v>300</v>
      </c>
      <c r="D37" s="112" t="s">
        <v>6</v>
      </c>
      <c r="E37" s="296" t="s">
        <v>151</v>
      </c>
      <c r="F37" s="297"/>
      <c r="G37" s="113">
        <f>G13*250800</f>
        <v>250800</v>
      </c>
      <c r="H37" s="113">
        <f>G13*27588</f>
        <v>27588</v>
      </c>
      <c r="T37"/>
      <c r="U37"/>
    </row>
    <row r="38" spans="1:22" ht="25.9" customHeight="1">
      <c r="A38" s="322"/>
      <c r="B38" s="324" t="s">
        <v>144</v>
      </c>
      <c r="C38" s="325"/>
      <c r="D38" s="325"/>
      <c r="E38" s="325"/>
      <c r="F38" s="326"/>
      <c r="G38" s="149"/>
      <c r="H38" s="149"/>
      <c r="T38"/>
      <c r="U38"/>
    </row>
    <row r="39" spans="1:22" ht="93.6" customHeight="1">
      <c r="A39" s="322"/>
      <c r="B39" s="117">
        <v>104</v>
      </c>
      <c r="C39" s="114" t="s">
        <v>285</v>
      </c>
      <c r="D39" s="115" t="s">
        <v>4</v>
      </c>
      <c r="E39" s="35" t="s">
        <v>275</v>
      </c>
      <c r="F39" s="44" t="s">
        <v>145</v>
      </c>
      <c r="G39" s="327" t="s">
        <v>29</v>
      </c>
      <c r="H39" s="327"/>
      <c r="T39"/>
      <c r="U39"/>
    </row>
    <row r="40" spans="1:22" ht="101.45" customHeight="1">
      <c r="A40" s="322"/>
      <c r="B40" s="188" t="s">
        <v>155</v>
      </c>
      <c r="C40" s="150" t="s">
        <v>286</v>
      </c>
      <c r="D40" s="151" t="s">
        <v>4</v>
      </c>
      <c r="E40" s="35" t="s">
        <v>152</v>
      </c>
      <c r="F40" s="118">
        <f>G13*5836.2395</f>
        <v>5836.2394999999997</v>
      </c>
      <c r="G40" s="116">
        <f>G13*6557.2895</f>
        <v>6557.2894999999999</v>
      </c>
      <c r="H40" s="116">
        <f>G13*192.85</f>
        <v>192.85</v>
      </c>
      <c r="T40"/>
      <c r="U40"/>
    </row>
    <row r="41" spans="1:22" ht="26.45" customHeight="1">
      <c r="A41" s="322"/>
      <c r="B41" s="188" t="s">
        <v>407</v>
      </c>
      <c r="C41" s="189" t="s">
        <v>408</v>
      </c>
      <c r="D41" s="152" t="s">
        <v>4</v>
      </c>
      <c r="E41" s="153" t="s">
        <v>392</v>
      </c>
      <c r="F41" s="154">
        <f>G13*5596.7635</f>
        <v>5596.7635</v>
      </c>
      <c r="G41" s="155">
        <f>G13*6317.8135</f>
        <v>6317.8135000000002</v>
      </c>
      <c r="H41" s="155">
        <f>G13*192.85</f>
        <v>192.85</v>
      </c>
      <c r="T41"/>
      <c r="U41"/>
    </row>
    <row r="42" spans="1:22" ht="99" customHeight="1">
      <c r="A42" s="322"/>
      <c r="B42" s="188" t="s">
        <v>156</v>
      </c>
      <c r="C42" s="156" t="s">
        <v>287</v>
      </c>
      <c r="D42" s="151" t="s">
        <v>4</v>
      </c>
      <c r="E42" s="35" t="s">
        <v>152</v>
      </c>
      <c r="F42" s="118">
        <f>G13*3965.49</f>
        <v>3965.49</v>
      </c>
      <c r="G42" s="116">
        <f>G13*4506.04</f>
        <v>4506.04</v>
      </c>
      <c r="H42" s="116">
        <f>G13*197.6</f>
        <v>197.6</v>
      </c>
      <c r="T42"/>
      <c r="U42"/>
      <c r="V42"/>
    </row>
    <row r="43" spans="1:22" ht="29.45" customHeight="1">
      <c r="A43" s="322"/>
      <c r="B43" s="188" t="s">
        <v>409</v>
      </c>
      <c r="C43" s="190" t="s">
        <v>410</v>
      </c>
      <c r="D43" s="152" t="s">
        <v>4</v>
      </c>
      <c r="E43" s="153" t="s">
        <v>392</v>
      </c>
      <c r="F43" s="154">
        <f>G13*3726.014</f>
        <v>3726.0140000000001</v>
      </c>
      <c r="G43" s="155">
        <f>G13*4266.564</f>
        <v>4266.5640000000003</v>
      </c>
      <c r="H43" s="155">
        <f>G13*197.6</f>
        <v>197.6</v>
      </c>
      <c r="T43"/>
      <c r="U43"/>
      <c r="V43"/>
    </row>
    <row r="44" spans="1:22" ht="102" customHeight="1">
      <c r="A44" s="322"/>
      <c r="B44" s="188" t="s">
        <v>157</v>
      </c>
      <c r="C44" s="156" t="s">
        <v>288</v>
      </c>
      <c r="D44" s="151" t="s">
        <v>4</v>
      </c>
      <c r="E44" s="35" t="s">
        <v>152</v>
      </c>
      <c r="F44" s="118">
        <f>G13*3169.162</f>
        <v>3169.1619999999998</v>
      </c>
      <c r="G44" s="116">
        <f>G13*3468.412</f>
        <v>3468.4119999999998</v>
      </c>
      <c r="H44" s="116">
        <f>G13*142.5</f>
        <v>142.5</v>
      </c>
      <c r="T44"/>
      <c r="U44"/>
      <c r="V44"/>
    </row>
    <row r="45" spans="1:22" ht="27.6" customHeight="1">
      <c r="A45" s="322"/>
      <c r="B45" s="188" t="s">
        <v>411</v>
      </c>
      <c r="C45" s="190" t="s">
        <v>412</v>
      </c>
      <c r="D45" s="152" t="s">
        <v>4</v>
      </c>
      <c r="E45" s="153" t="s">
        <v>392</v>
      </c>
      <c r="F45" s="154">
        <f>G13*2929.686</f>
        <v>2929.6860000000001</v>
      </c>
      <c r="G45" s="155">
        <f>G13*3228.936</f>
        <v>3228.9360000000001</v>
      </c>
      <c r="H45" s="155">
        <f>G13*142.5</f>
        <v>142.5</v>
      </c>
      <c r="T45"/>
      <c r="U45"/>
      <c r="V45"/>
    </row>
    <row r="46" spans="1:22" ht="101.45" customHeight="1">
      <c r="A46" s="322"/>
      <c r="B46" s="188" t="s">
        <v>158</v>
      </c>
      <c r="C46" s="156" t="s">
        <v>289</v>
      </c>
      <c r="D46" s="151" t="s">
        <v>4</v>
      </c>
      <c r="E46" s="35" t="s">
        <v>152</v>
      </c>
      <c r="F46" s="118">
        <f>G13*3245.9125</f>
        <v>3245.9124999999999</v>
      </c>
      <c r="G46" s="116">
        <f>G13*3472.0125</f>
        <v>3472.0124999999998</v>
      </c>
      <c r="H46" s="116">
        <f>G13*129.2</f>
        <v>129.19999999999999</v>
      </c>
      <c r="T46"/>
      <c r="U46"/>
      <c r="V46"/>
    </row>
    <row r="47" spans="1:22" ht="37.15" customHeight="1">
      <c r="A47" s="322"/>
      <c r="B47" s="188" t="s">
        <v>413</v>
      </c>
      <c r="C47" s="190" t="s">
        <v>414</v>
      </c>
      <c r="D47" s="152" t="s">
        <v>4</v>
      </c>
      <c r="E47" s="153" t="s">
        <v>392</v>
      </c>
      <c r="F47" s="154">
        <f>G13*3006.4365</f>
        <v>3006.4364999999998</v>
      </c>
      <c r="G47" s="155">
        <f>G13*3232.5365</f>
        <v>3232.5365000000002</v>
      </c>
      <c r="H47" s="155">
        <f>G13*129.2</f>
        <v>129.19999999999999</v>
      </c>
      <c r="T47"/>
      <c r="U47"/>
      <c r="V47"/>
    </row>
    <row r="48" spans="1:22" ht="90" customHeight="1">
      <c r="A48" s="322"/>
      <c r="B48" s="52">
        <v>105</v>
      </c>
      <c r="C48" s="156" t="s">
        <v>290</v>
      </c>
      <c r="D48" s="151"/>
      <c r="E48" s="35" t="s">
        <v>153</v>
      </c>
      <c r="F48" s="118"/>
      <c r="G48" s="116"/>
      <c r="H48" s="116"/>
      <c r="T48"/>
    </row>
    <row r="49" spans="1:22" ht="104.45" customHeight="1">
      <c r="A49" s="322"/>
      <c r="B49" s="188" t="s">
        <v>159</v>
      </c>
      <c r="C49" s="156" t="s">
        <v>291</v>
      </c>
      <c r="D49" s="151" t="s">
        <v>4</v>
      </c>
      <c r="E49" s="35" t="s">
        <v>152</v>
      </c>
      <c r="F49" s="118">
        <f>G13*5865.1195</f>
        <v>5865.1194999999998</v>
      </c>
      <c r="G49" s="116">
        <f>G13*6601.3695</f>
        <v>6601.3694999999998</v>
      </c>
      <c r="H49" s="116">
        <f>G13*169.1</f>
        <v>169.1</v>
      </c>
      <c r="T49"/>
    </row>
    <row r="50" spans="1:22" ht="25.9" customHeight="1">
      <c r="A50" s="322"/>
      <c r="B50" s="188" t="s">
        <v>415</v>
      </c>
      <c r="C50" s="190" t="s">
        <v>416</v>
      </c>
      <c r="D50" s="152" t="s">
        <v>4</v>
      </c>
      <c r="E50" s="153" t="s">
        <v>392</v>
      </c>
      <c r="F50" s="154">
        <f>G13*5625.6435</f>
        <v>5625.6435000000001</v>
      </c>
      <c r="G50" s="155">
        <f>G13*6361.8935</f>
        <v>6361.8935000000001</v>
      </c>
      <c r="H50" s="155">
        <f>G13*169.1</f>
        <v>169.1</v>
      </c>
      <c r="T50"/>
    </row>
    <row r="51" spans="1:22" ht="100.9" customHeight="1">
      <c r="A51" s="322"/>
      <c r="B51" s="188" t="s">
        <v>160</v>
      </c>
      <c r="C51" s="156" t="s">
        <v>292</v>
      </c>
      <c r="D51" s="151" t="s">
        <v>4</v>
      </c>
      <c r="E51" s="35" t="s">
        <v>152</v>
      </c>
      <c r="F51" s="118">
        <f>G13*5223.993</f>
        <v>5223.9930000000004</v>
      </c>
      <c r="G51" s="116">
        <f>G13*5879.493</f>
        <v>5879.4930000000004</v>
      </c>
      <c r="H51" s="116">
        <f>G13*173.85</f>
        <v>173.85</v>
      </c>
      <c r="T51"/>
    </row>
    <row r="52" spans="1:22" ht="27.6" customHeight="1">
      <c r="A52" s="322"/>
      <c r="B52" s="188" t="s">
        <v>417</v>
      </c>
      <c r="C52" s="190" t="s">
        <v>418</v>
      </c>
      <c r="D52" s="152" t="s">
        <v>4</v>
      </c>
      <c r="E52" s="153" t="s">
        <v>392</v>
      </c>
      <c r="F52" s="154">
        <f>G13*4984.517</f>
        <v>4984.5169999999998</v>
      </c>
      <c r="G52" s="155">
        <f>G13*5640.017</f>
        <v>5640.0169999999998</v>
      </c>
      <c r="H52" s="155">
        <f>G13*173.85</f>
        <v>173.85</v>
      </c>
      <c r="T52"/>
    </row>
    <row r="53" spans="1:22" ht="99" customHeight="1">
      <c r="A53" s="322"/>
      <c r="B53" s="188" t="s">
        <v>161</v>
      </c>
      <c r="C53" s="156" t="s">
        <v>293</v>
      </c>
      <c r="D53" s="151" t="s">
        <v>4</v>
      </c>
      <c r="E53" s="35" t="s">
        <v>152</v>
      </c>
      <c r="F53" s="118">
        <f>G13*2824.3595</f>
        <v>2824.3595</v>
      </c>
      <c r="G53" s="116">
        <f>G13*3171.1095</f>
        <v>3171.1095</v>
      </c>
      <c r="H53" s="116">
        <f>G13*145.35</f>
        <v>145.35</v>
      </c>
      <c r="T53"/>
    </row>
    <row r="54" spans="1:22" ht="34.9" customHeight="1">
      <c r="A54" s="322"/>
      <c r="B54" s="188" t="s">
        <v>419</v>
      </c>
      <c r="C54" s="190" t="s">
        <v>420</v>
      </c>
      <c r="D54" s="152" t="s">
        <v>4</v>
      </c>
      <c r="E54" s="153" t="s">
        <v>392</v>
      </c>
      <c r="F54" s="154">
        <f>G13*2584.8835</f>
        <v>2584.8834999999999</v>
      </c>
      <c r="G54" s="155">
        <f>G13*2931.6335</f>
        <v>2931.6334999999999</v>
      </c>
      <c r="H54" s="155">
        <f>G13*145.35</f>
        <v>145.35</v>
      </c>
      <c r="T54"/>
    </row>
    <row r="55" spans="1:22" ht="105" customHeight="1">
      <c r="A55" s="322"/>
      <c r="B55" s="188" t="s">
        <v>162</v>
      </c>
      <c r="C55" s="156" t="s">
        <v>289</v>
      </c>
      <c r="D55" s="151" t="s">
        <v>4</v>
      </c>
      <c r="E55" s="35" t="s">
        <v>152</v>
      </c>
      <c r="F55" s="118">
        <f>G13*2315.4445</f>
        <v>2315.4445000000001</v>
      </c>
      <c r="G55" s="116">
        <f>G13*2607.0945</f>
        <v>2607.0945000000002</v>
      </c>
      <c r="H55" s="116">
        <f>G13*141.55</f>
        <v>141.55000000000001</v>
      </c>
      <c r="T55"/>
    </row>
    <row r="56" spans="1:22" ht="28.9" customHeight="1">
      <c r="A56" s="322"/>
      <c r="B56" s="191" t="s">
        <v>421</v>
      </c>
      <c r="C56" s="192" t="s">
        <v>414</v>
      </c>
      <c r="D56" s="157" t="s">
        <v>4</v>
      </c>
      <c r="E56" s="158" t="s">
        <v>392</v>
      </c>
      <c r="F56" s="159">
        <f>G13*2075.9685</f>
        <v>2075.9684999999999</v>
      </c>
      <c r="G56" s="160">
        <f>G13*2367.6185</f>
        <v>2367.6185</v>
      </c>
      <c r="H56" s="160">
        <f>G13*141.55</f>
        <v>141.55000000000001</v>
      </c>
      <c r="T56"/>
    </row>
    <row r="57" spans="1:22" ht="26.25" customHeight="1">
      <c r="A57" s="262" t="s">
        <v>93</v>
      </c>
      <c r="B57" s="262"/>
      <c r="C57" s="262"/>
      <c r="D57" s="262"/>
      <c r="E57" s="262"/>
      <c r="F57" s="262"/>
      <c r="G57" s="257"/>
      <c r="H57" s="257"/>
      <c r="T57"/>
    </row>
    <row r="58" spans="1:22" ht="22.15" customHeight="1">
      <c r="A58" s="31"/>
      <c r="B58" s="302" t="s">
        <v>118</v>
      </c>
      <c r="C58" s="302"/>
      <c r="D58" s="302"/>
      <c r="E58" s="302"/>
      <c r="F58" s="302"/>
      <c r="G58" s="161"/>
      <c r="H58" s="161"/>
      <c r="T58"/>
    </row>
    <row r="59" spans="1:22" ht="49.9" customHeight="1">
      <c r="A59" s="31"/>
      <c r="B59" s="128">
        <v>208</v>
      </c>
      <c r="C59" s="129" t="s">
        <v>294</v>
      </c>
      <c r="D59" s="130"/>
      <c r="E59" s="303" t="s">
        <v>147</v>
      </c>
      <c r="F59" s="304"/>
      <c r="G59" s="124"/>
      <c r="H59" s="124"/>
      <c r="T59"/>
    </row>
    <row r="60" spans="1:22" ht="50.45" customHeight="1">
      <c r="A60" s="31"/>
      <c r="B60" s="258" t="s">
        <v>119</v>
      </c>
      <c r="C60" s="260" t="s">
        <v>295</v>
      </c>
      <c r="D60" s="131" t="s">
        <v>123</v>
      </c>
      <c r="E60" s="265" t="s">
        <v>331</v>
      </c>
      <c r="F60" s="266"/>
      <c r="G60" s="132">
        <f>G13*17866.65</f>
        <v>17866.650000000001</v>
      </c>
      <c r="H60" s="132">
        <f>G13*894.9</f>
        <v>894.9</v>
      </c>
      <c r="T60"/>
      <c r="U60" s="139"/>
      <c r="V60" s="2"/>
    </row>
    <row r="61" spans="1:22" ht="52.9" customHeight="1">
      <c r="A61" s="31"/>
      <c r="B61" s="259"/>
      <c r="C61" s="261"/>
      <c r="D61" s="133" t="s">
        <v>124</v>
      </c>
      <c r="E61" s="267"/>
      <c r="F61" s="268"/>
      <c r="G61" s="134">
        <f>G13*4465.95</f>
        <v>4465.95</v>
      </c>
      <c r="H61" s="134">
        <f>G13*228</f>
        <v>228</v>
      </c>
      <c r="T61"/>
      <c r="U61" s="139"/>
      <c r="V61" s="2"/>
    </row>
    <row r="62" spans="1:22" ht="47.45" customHeight="1">
      <c r="A62" s="31"/>
      <c r="B62" s="258" t="s">
        <v>120</v>
      </c>
      <c r="C62" s="260" t="s">
        <v>296</v>
      </c>
      <c r="D62" s="131" t="s">
        <v>123</v>
      </c>
      <c r="E62" s="267"/>
      <c r="F62" s="268"/>
      <c r="G62" s="132">
        <f>G13*14905.5</f>
        <v>14905.5</v>
      </c>
      <c r="H62" s="132">
        <f>G13*1333.8</f>
        <v>1333.8</v>
      </c>
      <c r="T62"/>
      <c r="U62" s="139"/>
      <c r="V62" s="2"/>
    </row>
    <row r="63" spans="1:22" ht="54" customHeight="1">
      <c r="A63" s="31"/>
      <c r="B63" s="259"/>
      <c r="C63" s="261"/>
      <c r="D63" s="133" t="s">
        <v>124</v>
      </c>
      <c r="E63" s="269"/>
      <c r="F63" s="270"/>
      <c r="G63" s="134">
        <f>G13*2553.6</f>
        <v>2553.6</v>
      </c>
      <c r="H63" s="134">
        <f>G13*227.05</f>
        <v>227.05</v>
      </c>
      <c r="T63"/>
      <c r="U63" s="139"/>
      <c r="V63" s="2"/>
    </row>
    <row r="64" spans="1:22" ht="52.5" customHeight="1">
      <c r="A64" s="31"/>
      <c r="B64" s="193">
        <v>209</v>
      </c>
      <c r="C64" s="135" t="s">
        <v>297</v>
      </c>
      <c r="D64" s="123"/>
      <c r="E64" s="271" t="s">
        <v>146</v>
      </c>
      <c r="F64" s="272"/>
      <c r="G64" s="122"/>
      <c r="H64" s="122"/>
      <c r="T64"/>
      <c r="U64" s="139"/>
      <c r="V64" s="2"/>
    </row>
    <row r="65" spans="1:22" ht="55.9" customHeight="1">
      <c r="A65" s="31"/>
      <c r="B65" s="258" t="s">
        <v>121</v>
      </c>
      <c r="C65" s="260" t="s">
        <v>298</v>
      </c>
      <c r="D65" s="131" t="s">
        <v>123</v>
      </c>
      <c r="E65" s="265" t="s">
        <v>332</v>
      </c>
      <c r="F65" s="266"/>
      <c r="G65" s="132">
        <f>G13*14801</f>
        <v>14801</v>
      </c>
      <c r="H65" s="132">
        <f>G13*699.2</f>
        <v>699.2</v>
      </c>
      <c r="T65"/>
      <c r="U65" s="139"/>
      <c r="V65" s="2"/>
    </row>
    <row r="66" spans="1:22" ht="49.15" customHeight="1">
      <c r="A66" s="31"/>
      <c r="B66" s="259"/>
      <c r="C66" s="261"/>
      <c r="D66" s="133" t="s">
        <v>124</v>
      </c>
      <c r="E66" s="267"/>
      <c r="F66" s="268"/>
      <c r="G66" s="134">
        <f>G13*4218.038</f>
        <v>4218.0379999999996</v>
      </c>
      <c r="H66" s="134">
        <f>G13*217.436</f>
        <v>217.43600000000001</v>
      </c>
      <c r="T66"/>
      <c r="U66" s="139"/>
      <c r="V66" s="2"/>
    </row>
    <row r="67" spans="1:22" ht="59.45" customHeight="1">
      <c r="A67" s="31"/>
      <c r="B67" s="258" t="s">
        <v>122</v>
      </c>
      <c r="C67" s="260" t="s">
        <v>299</v>
      </c>
      <c r="D67" s="131" t="s">
        <v>123</v>
      </c>
      <c r="E67" s="267"/>
      <c r="F67" s="268"/>
      <c r="G67" s="132">
        <f>G13*9785.95</f>
        <v>9785.9500000000007</v>
      </c>
      <c r="H67" s="132">
        <f>G13*793.25</f>
        <v>793.25</v>
      </c>
      <c r="T67"/>
      <c r="U67" s="139"/>
      <c r="V67" s="2"/>
    </row>
    <row r="68" spans="1:22" ht="43.9" customHeight="1">
      <c r="A68" s="31"/>
      <c r="B68" s="288"/>
      <c r="C68" s="301"/>
      <c r="D68" s="136" t="s">
        <v>124</v>
      </c>
      <c r="E68" s="267"/>
      <c r="F68" s="268"/>
      <c r="G68" s="134">
        <f>G13*2317.6105</f>
        <v>2317.6104999999998</v>
      </c>
      <c r="H68" s="134">
        <f>G13*189.202</f>
        <v>189.202</v>
      </c>
      <c r="T68"/>
      <c r="U68" s="139"/>
      <c r="V68" s="2"/>
    </row>
    <row r="69" spans="1:22" ht="15" customHeight="1">
      <c r="A69" s="31"/>
      <c r="B69" s="126"/>
      <c r="C69" s="125"/>
      <c r="D69" s="137"/>
      <c r="E69" s="298"/>
      <c r="F69" s="299"/>
      <c r="G69" s="127"/>
      <c r="H69" s="127"/>
      <c r="T69"/>
      <c r="U69" s="139"/>
      <c r="V69" s="2"/>
    </row>
    <row r="70" spans="1:22" ht="18.75" customHeight="1">
      <c r="A70" s="305"/>
      <c r="B70" s="305"/>
      <c r="C70" s="305"/>
      <c r="D70" s="305"/>
      <c r="E70" s="305"/>
      <c r="F70" s="305"/>
      <c r="G70" s="305"/>
      <c r="H70" s="306"/>
      <c r="T70"/>
      <c r="U70" s="139"/>
      <c r="V70" s="2"/>
    </row>
    <row r="71" spans="1:22" ht="24.75" customHeight="1">
      <c r="A71" s="307" t="s">
        <v>443</v>
      </c>
      <c r="B71" s="308"/>
      <c r="C71" s="308"/>
      <c r="D71" s="308"/>
      <c r="E71" s="308"/>
      <c r="F71" s="309"/>
      <c r="G71" s="315"/>
      <c r="H71" s="316"/>
      <c r="T71"/>
    </row>
    <row r="72" spans="1:22" ht="15" customHeight="1">
      <c r="A72" s="310"/>
      <c r="B72" s="311"/>
      <c r="C72" s="311"/>
      <c r="D72" s="311"/>
      <c r="E72" s="311"/>
      <c r="F72" s="312"/>
      <c r="G72" s="313"/>
      <c r="H72" s="314"/>
      <c r="T72"/>
    </row>
    <row r="73" spans="1:22" ht="78.599999999999994" customHeight="1">
      <c r="A73" s="349"/>
      <c r="B73" s="69">
        <v>401</v>
      </c>
      <c r="C73" s="163" t="s">
        <v>247</v>
      </c>
      <c r="D73" s="164" t="s">
        <v>18</v>
      </c>
      <c r="E73" s="353" t="s">
        <v>248</v>
      </c>
      <c r="F73" s="353"/>
      <c r="G73" s="162">
        <f>G13*315.4</f>
        <v>315.39999999999998</v>
      </c>
      <c r="H73" s="162">
        <f>G13*35.15</f>
        <v>35.15</v>
      </c>
      <c r="T73"/>
    </row>
    <row r="74" spans="1:22" ht="90.6" customHeight="1">
      <c r="A74" s="349"/>
      <c r="B74" s="194" t="s">
        <v>132</v>
      </c>
      <c r="C74" s="165" t="s">
        <v>262</v>
      </c>
      <c r="D74" s="166" t="s">
        <v>18</v>
      </c>
      <c r="E74" s="227" t="s">
        <v>316</v>
      </c>
      <c r="F74" s="228"/>
      <c r="G74" s="65">
        <f>G13*988.57</f>
        <v>988.57</v>
      </c>
      <c r="H74" s="65">
        <f>G13*98.857</f>
        <v>98.856999999999999</v>
      </c>
      <c r="T74"/>
      <c r="U74"/>
    </row>
    <row r="75" spans="1:22" ht="132" customHeight="1">
      <c r="A75" s="349"/>
      <c r="B75" s="74">
        <v>403</v>
      </c>
      <c r="C75" s="91" t="s">
        <v>46</v>
      </c>
      <c r="D75" s="68" t="s">
        <v>20</v>
      </c>
      <c r="E75" s="317" t="s">
        <v>335</v>
      </c>
      <c r="F75" s="317"/>
      <c r="G75" s="65"/>
      <c r="H75" s="65"/>
      <c r="T75"/>
      <c r="U75"/>
    </row>
    <row r="76" spans="1:22" ht="18.600000000000001" customHeight="1">
      <c r="A76" s="349"/>
      <c r="B76" s="74"/>
      <c r="C76" s="91"/>
      <c r="D76" s="68"/>
      <c r="E76" s="214"/>
      <c r="F76" s="215"/>
      <c r="G76" s="65"/>
      <c r="H76" s="65"/>
      <c r="T76"/>
      <c r="U76"/>
    </row>
    <row r="77" spans="1:22" ht="15.75" customHeight="1">
      <c r="A77" s="349"/>
      <c r="B77" s="195" t="s">
        <v>65</v>
      </c>
      <c r="C77" s="140" t="s">
        <v>249</v>
      </c>
      <c r="D77" s="45" t="s">
        <v>20</v>
      </c>
      <c r="E77" s="230" t="s">
        <v>423</v>
      </c>
      <c r="F77" s="230"/>
      <c r="G77" s="65">
        <f>G13*28737.5</f>
        <v>28737.5</v>
      </c>
      <c r="H77" s="65">
        <f>G13*2011.625</f>
        <v>2011.625</v>
      </c>
      <c r="T77"/>
      <c r="U77"/>
    </row>
    <row r="78" spans="1:22" ht="18.75" customHeight="1">
      <c r="A78" s="349"/>
      <c r="B78" s="195" t="s">
        <v>66</v>
      </c>
      <c r="C78" s="167" t="s">
        <v>250</v>
      </c>
      <c r="D78" s="45" t="s">
        <v>20</v>
      </c>
      <c r="E78" s="230" t="s">
        <v>423</v>
      </c>
      <c r="F78" s="230"/>
      <c r="G78" s="65">
        <f>G13*34542</f>
        <v>34542</v>
      </c>
      <c r="H78" s="65">
        <f>G13*2072.52</f>
        <v>2072.52</v>
      </c>
      <c r="T78"/>
      <c r="U78"/>
    </row>
    <row r="79" spans="1:22" ht="15" customHeight="1">
      <c r="A79" s="349"/>
      <c r="B79" s="195" t="s">
        <v>109</v>
      </c>
      <c r="C79" s="167" t="s">
        <v>251</v>
      </c>
      <c r="D79" s="45" t="s">
        <v>20</v>
      </c>
      <c r="E79" s="230" t="s">
        <v>423</v>
      </c>
      <c r="F79" s="230"/>
      <c r="G79" s="65">
        <f>G13*43450.15</f>
        <v>43450.15</v>
      </c>
      <c r="H79" s="65">
        <f>G13*2172.5075</f>
        <v>2172.5075000000002</v>
      </c>
      <c r="T79"/>
      <c r="U79"/>
    </row>
    <row r="80" spans="1:22" ht="31.15" customHeight="1">
      <c r="A80" s="349"/>
      <c r="B80" s="195" t="s">
        <v>385</v>
      </c>
      <c r="C80" s="168" t="s">
        <v>390</v>
      </c>
      <c r="D80" s="45"/>
      <c r="E80" s="216"/>
      <c r="F80" s="217"/>
      <c r="G80" s="65"/>
      <c r="H80" s="65"/>
      <c r="T80"/>
      <c r="U80"/>
    </row>
    <row r="81" spans="1:21" ht="15" customHeight="1">
      <c r="A81" s="349"/>
      <c r="B81" s="195" t="s">
        <v>386</v>
      </c>
      <c r="C81" s="167" t="s">
        <v>388</v>
      </c>
      <c r="D81" s="45" t="s">
        <v>20</v>
      </c>
      <c r="E81" s="218" t="s">
        <v>424</v>
      </c>
      <c r="F81" s="219"/>
      <c r="G81" s="65">
        <f>G13*6117.677</f>
        <v>6117.6769999999997</v>
      </c>
      <c r="H81" s="65">
        <f>G13*2011.625</f>
        <v>2011.625</v>
      </c>
      <c r="T81"/>
      <c r="U81"/>
    </row>
    <row r="82" spans="1:21" ht="15" customHeight="1">
      <c r="A82" s="349"/>
      <c r="B82" s="195" t="s">
        <v>387</v>
      </c>
      <c r="C82" s="167" t="s">
        <v>389</v>
      </c>
      <c r="D82" s="45" t="s">
        <v>20</v>
      </c>
      <c r="E82" s="218" t="s">
        <v>424</v>
      </c>
      <c r="F82" s="219"/>
      <c r="G82" s="65">
        <f>G13*14241.963</f>
        <v>14241.963</v>
      </c>
      <c r="H82" s="65">
        <f>G13*2072.52</f>
        <v>2072.52</v>
      </c>
      <c r="T82"/>
      <c r="U82"/>
    </row>
    <row r="83" spans="1:21" ht="69.599999999999994" customHeight="1">
      <c r="A83" s="349"/>
      <c r="B83" s="85">
        <v>404</v>
      </c>
      <c r="C83" s="196" t="s">
        <v>31</v>
      </c>
      <c r="D83" s="197" t="s">
        <v>21</v>
      </c>
      <c r="E83" s="318" t="s">
        <v>252</v>
      </c>
      <c r="F83" s="318"/>
      <c r="G83" s="65">
        <f>G13*5747.5</f>
        <v>5747.5</v>
      </c>
      <c r="H83" s="65">
        <f>G13*632.225</f>
        <v>632.22500000000002</v>
      </c>
      <c r="T83"/>
      <c r="U83"/>
    </row>
    <row r="84" spans="1:21" ht="78.599999999999994" customHeight="1">
      <c r="A84" s="349"/>
      <c r="B84" s="74">
        <v>405</v>
      </c>
      <c r="C84" s="92" t="s">
        <v>253</v>
      </c>
      <c r="D84" s="68" t="s">
        <v>20</v>
      </c>
      <c r="E84" s="317" t="s">
        <v>254</v>
      </c>
      <c r="F84" s="317"/>
      <c r="G84" s="65">
        <f>G13*1985.5</f>
        <v>1985.5</v>
      </c>
      <c r="H84" s="65">
        <f>G13*218.405</f>
        <v>218.405</v>
      </c>
      <c r="T84"/>
      <c r="U84"/>
    </row>
    <row r="85" spans="1:21" ht="102.6" customHeight="1">
      <c r="A85" s="349"/>
      <c r="B85" s="74">
        <v>406</v>
      </c>
      <c r="C85" s="93" t="s">
        <v>265</v>
      </c>
      <c r="D85" s="68" t="s">
        <v>39</v>
      </c>
      <c r="E85" s="317" t="s">
        <v>255</v>
      </c>
      <c r="F85" s="317"/>
      <c r="G85" s="65">
        <f>G13*1985.5</f>
        <v>1985.5</v>
      </c>
      <c r="H85" s="65">
        <f>G13*218.405</f>
        <v>218.405</v>
      </c>
      <c r="T85"/>
      <c r="U85"/>
    </row>
    <row r="86" spans="1:21" ht="64.150000000000006" customHeight="1">
      <c r="A86" s="349"/>
      <c r="B86" s="74">
        <v>407</v>
      </c>
      <c r="C86" s="94" t="s">
        <v>264</v>
      </c>
      <c r="D86" s="7" t="s">
        <v>40</v>
      </c>
      <c r="E86" s="317" t="s">
        <v>256</v>
      </c>
      <c r="F86" s="317"/>
      <c r="G86" s="65">
        <f>G13*570</f>
        <v>570</v>
      </c>
      <c r="H86" s="65">
        <f>G13*0</f>
        <v>0</v>
      </c>
      <c r="T86"/>
      <c r="U86"/>
    </row>
    <row r="87" spans="1:21" ht="78.599999999999994" customHeight="1">
      <c r="A87" s="349"/>
      <c r="B87" s="194" t="s">
        <v>127</v>
      </c>
      <c r="C87" s="94" t="s">
        <v>263</v>
      </c>
      <c r="D87" s="7" t="s">
        <v>40</v>
      </c>
      <c r="E87" s="227" t="s">
        <v>257</v>
      </c>
      <c r="F87" s="228"/>
      <c r="G87" s="65">
        <f>G13*570</f>
        <v>570</v>
      </c>
      <c r="H87" s="65">
        <f>G13*0</f>
        <v>0</v>
      </c>
      <c r="T87"/>
      <c r="U87"/>
    </row>
    <row r="88" spans="1:21" ht="54.6" customHeight="1">
      <c r="A88" s="349"/>
      <c r="B88" s="194" t="s">
        <v>318</v>
      </c>
      <c r="C88" s="198" t="s">
        <v>320</v>
      </c>
      <c r="D88" s="8" t="s">
        <v>43</v>
      </c>
      <c r="E88" s="300" t="s">
        <v>322</v>
      </c>
      <c r="F88" s="300"/>
      <c r="G88" s="65">
        <f>G13*129.029</f>
        <v>129.029</v>
      </c>
      <c r="H88" s="65">
        <f>G13*12.844</f>
        <v>12.843999999999999</v>
      </c>
      <c r="T88"/>
      <c r="U88"/>
    </row>
    <row r="89" spans="1:21" ht="51" customHeight="1">
      <c r="A89" s="349"/>
      <c r="B89" s="194" t="s">
        <v>321</v>
      </c>
      <c r="C89" s="198" t="s">
        <v>319</v>
      </c>
      <c r="D89" s="8" t="s">
        <v>43</v>
      </c>
      <c r="E89" s="231" t="s">
        <v>322</v>
      </c>
      <c r="F89" s="232"/>
      <c r="G89" s="65">
        <f>G13*201.286</f>
        <v>201.286</v>
      </c>
      <c r="H89" s="65">
        <f>G13*20.1305</f>
        <v>20.130500000000001</v>
      </c>
      <c r="T89"/>
      <c r="U89"/>
    </row>
    <row r="90" spans="1:21" ht="55.15" customHeight="1">
      <c r="A90" s="349"/>
      <c r="B90" s="85">
        <v>419</v>
      </c>
      <c r="C90" s="77" t="s">
        <v>90</v>
      </c>
      <c r="D90" s="45" t="s">
        <v>8</v>
      </c>
      <c r="E90" s="339" t="s">
        <v>95</v>
      </c>
      <c r="F90" s="340"/>
      <c r="G90" s="65">
        <f>G13*2670.45</f>
        <v>2670.45</v>
      </c>
      <c r="H90" s="65">
        <f>G13*293.7495</f>
        <v>293.74950000000001</v>
      </c>
      <c r="T90"/>
      <c r="U90"/>
    </row>
    <row r="91" spans="1:21" ht="127.15" customHeight="1">
      <c r="A91" s="349"/>
      <c r="B91" s="85">
        <v>422</v>
      </c>
      <c r="C91" s="169" t="s">
        <v>438</v>
      </c>
      <c r="D91" s="95" t="s">
        <v>42</v>
      </c>
      <c r="E91" s="341" t="s">
        <v>82</v>
      </c>
      <c r="F91" s="341"/>
      <c r="G91" s="65">
        <f>G13*504.925</f>
        <v>504.92500000000001</v>
      </c>
      <c r="H91" s="65">
        <f>G13*31.35</f>
        <v>31.35</v>
      </c>
      <c r="T91"/>
      <c r="U91"/>
    </row>
    <row r="92" spans="1:21" ht="88.9" customHeight="1">
      <c r="A92" s="349"/>
      <c r="B92" s="199" t="s">
        <v>301</v>
      </c>
      <c r="C92" s="169" t="s">
        <v>438</v>
      </c>
      <c r="D92" s="170" t="s">
        <v>42</v>
      </c>
      <c r="E92" s="220" t="s">
        <v>309</v>
      </c>
      <c r="F92" s="220"/>
      <c r="G92" s="65">
        <f>G13*113.9525</f>
        <v>113.9525</v>
      </c>
      <c r="H92" s="65">
        <f>G13*0</f>
        <v>0</v>
      </c>
      <c r="T92"/>
      <c r="U92"/>
    </row>
    <row r="93" spans="1:21" ht="92.45" customHeight="1">
      <c r="A93" s="349"/>
      <c r="B93" s="199" t="s">
        <v>307</v>
      </c>
      <c r="C93" s="169" t="s">
        <v>439</v>
      </c>
      <c r="D93" s="170" t="s">
        <v>42</v>
      </c>
      <c r="E93" s="220" t="s">
        <v>308</v>
      </c>
      <c r="F93" s="220"/>
      <c r="G93" s="65">
        <f>G13*113.9525</f>
        <v>113.9525</v>
      </c>
      <c r="H93" s="65">
        <f>G13*0</f>
        <v>0</v>
      </c>
      <c r="T93"/>
      <c r="U93"/>
    </row>
    <row r="94" spans="1:21" ht="118.9" customHeight="1">
      <c r="A94" s="349"/>
      <c r="B94" s="66">
        <v>423</v>
      </c>
      <c r="C94" s="96" t="s">
        <v>32</v>
      </c>
      <c r="D94" s="75" t="s">
        <v>110</v>
      </c>
      <c r="E94" s="342" t="s">
        <v>258</v>
      </c>
      <c r="F94" s="342"/>
      <c r="G94" s="65">
        <f>G13*356250</f>
        <v>356250</v>
      </c>
      <c r="H94" s="65">
        <f>G13*64125</f>
        <v>64125</v>
      </c>
      <c r="T94"/>
      <c r="U94"/>
    </row>
    <row r="95" spans="1:21" ht="121.9" customHeight="1">
      <c r="A95" s="349"/>
      <c r="B95" s="66">
        <v>424</v>
      </c>
      <c r="C95" s="97" t="s">
        <v>33</v>
      </c>
      <c r="D95" s="98" t="s">
        <v>22</v>
      </c>
      <c r="E95" s="351" t="s">
        <v>259</v>
      </c>
      <c r="F95" s="351"/>
      <c r="G95" s="65">
        <f>G13*261042.9</f>
        <v>261042.9</v>
      </c>
      <c r="H95" s="65">
        <f>G13*41766.864</f>
        <v>41766.864000000001</v>
      </c>
      <c r="T95"/>
      <c r="U95"/>
    </row>
    <row r="96" spans="1:21" ht="121.9" customHeight="1">
      <c r="A96" s="350"/>
      <c r="B96" s="90">
        <v>425</v>
      </c>
      <c r="C96" s="99" t="s">
        <v>266</v>
      </c>
      <c r="D96" s="100" t="s">
        <v>37</v>
      </c>
      <c r="E96" s="352" t="s">
        <v>260</v>
      </c>
      <c r="F96" s="352"/>
      <c r="G96" s="101">
        <f>G13*1140</f>
        <v>1140</v>
      </c>
      <c r="H96" s="101">
        <f>G13*114</f>
        <v>114</v>
      </c>
      <c r="T96"/>
      <c r="U96"/>
    </row>
    <row r="97" spans="1:21" ht="79.900000000000006" customHeight="1">
      <c r="A97" s="30"/>
      <c r="B97" s="102">
        <v>427</v>
      </c>
      <c r="C97" s="103" t="s">
        <v>267</v>
      </c>
      <c r="D97" s="104" t="s">
        <v>10</v>
      </c>
      <c r="E97" s="343" t="s">
        <v>261</v>
      </c>
      <c r="F97" s="344"/>
      <c r="G97" s="55">
        <f>G13*7108.475187</f>
        <v>7108.475187</v>
      </c>
      <c r="H97" s="55">
        <f>G13*20.5811555714286</f>
        <v>20.581155571428599</v>
      </c>
      <c r="T97"/>
      <c r="U97"/>
    </row>
    <row r="98" spans="1:21" ht="51" customHeight="1">
      <c r="A98" s="30"/>
      <c r="B98" s="102">
        <v>428</v>
      </c>
      <c r="C98" s="103" t="s">
        <v>268</v>
      </c>
      <c r="D98" s="104" t="s">
        <v>10</v>
      </c>
      <c r="E98" s="343" t="s">
        <v>270</v>
      </c>
      <c r="F98" s="344"/>
      <c r="G98" s="55">
        <f>G13*488.2696</f>
        <v>488.26960000000003</v>
      </c>
      <c r="H98" s="55">
        <f>G13*0</f>
        <v>0</v>
      </c>
      <c r="T98"/>
      <c r="U98"/>
    </row>
    <row r="99" spans="1:21" ht="38.450000000000003" customHeight="1">
      <c r="A99" s="30"/>
      <c r="B99" s="102">
        <v>430</v>
      </c>
      <c r="C99" s="103" t="s">
        <v>269</v>
      </c>
      <c r="D99" s="54" t="s">
        <v>10</v>
      </c>
      <c r="E99" s="343" t="s">
        <v>271</v>
      </c>
      <c r="F99" s="344"/>
      <c r="G99" s="55">
        <f>G13*1126.155745</f>
        <v>1126.155745</v>
      </c>
      <c r="H99" s="55">
        <f>G13*0</f>
        <v>0</v>
      </c>
      <c r="T99"/>
      <c r="U99"/>
    </row>
    <row r="100" spans="1:21" ht="18.600000000000001" customHeight="1">
      <c r="A100" s="30"/>
      <c r="B100" s="102">
        <v>432</v>
      </c>
      <c r="C100" s="105" t="s">
        <v>272</v>
      </c>
      <c r="D100" s="54" t="s">
        <v>10</v>
      </c>
      <c r="E100" s="345" t="s">
        <v>142</v>
      </c>
      <c r="F100" s="346"/>
      <c r="G100" s="55">
        <f>G13*733.59</f>
        <v>733.59</v>
      </c>
      <c r="H100" s="55">
        <f>G13*0</f>
        <v>0</v>
      </c>
      <c r="T100"/>
      <c r="U100"/>
    </row>
    <row r="101" spans="1:21" ht="51" customHeight="1">
      <c r="A101" s="30"/>
      <c r="B101" s="102">
        <v>450</v>
      </c>
      <c r="C101" s="53" t="s">
        <v>274</v>
      </c>
      <c r="D101" s="54" t="s">
        <v>10</v>
      </c>
      <c r="E101" s="242" t="s">
        <v>273</v>
      </c>
      <c r="F101" s="243"/>
      <c r="G101" s="55">
        <f>G13*3914</f>
        <v>3914</v>
      </c>
      <c r="H101" s="55">
        <f>G13*0</f>
        <v>0</v>
      </c>
      <c r="T101"/>
      <c r="U101"/>
    </row>
    <row r="102" spans="1:21" ht="11.25" customHeight="1">
      <c r="A102" s="347"/>
      <c r="B102" s="347"/>
      <c r="C102" s="347"/>
      <c r="D102" s="347"/>
      <c r="E102" s="347"/>
      <c r="F102" s="347"/>
      <c r="G102" s="347"/>
      <c r="H102" s="348"/>
      <c r="T102"/>
    </row>
    <row r="103" spans="1:21" ht="16.5" customHeight="1">
      <c r="A103" s="397" t="s">
        <v>94</v>
      </c>
      <c r="B103" s="397"/>
      <c r="C103" s="397"/>
      <c r="D103" s="397"/>
      <c r="E103" s="397"/>
      <c r="F103" s="397"/>
      <c r="G103" s="404"/>
      <c r="H103" s="404"/>
      <c r="T103"/>
    </row>
    <row r="104" spans="1:21" ht="13.5" customHeight="1">
      <c r="A104" s="397"/>
      <c r="B104" s="397"/>
      <c r="C104" s="397"/>
      <c r="D104" s="397"/>
      <c r="E104" s="397"/>
      <c r="F104" s="397"/>
      <c r="G104" s="403"/>
      <c r="H104" s="403"/>
      <c r="T104"/>
    </row>
    <row r="105" spans="1:21" ht="37.15" customHeight="1">
      <c r="A105" s="405"/>
      <c r="B105" s="84">
        <v>700</v>
      </c>
      <c r="C105" s="86" t="s">
        <v>242</v>
      </c>
      <c r="D105" s="87"/>
      <c r="E105" s="406" t="s">
        <v>243</v>
      </c>
      <c r="F105" s="406"/>
      <c r="G105" s="88"/>
      <c r="H105" s="89"/>
      <c r="T105"/>
    </row>
    <row r="106" spans="1:21" ht="78.599999999999994" customHeight="1">
      <c r="A106" s="405"/>
      <c r="B106" s="199" t="s">
        <v>67</v>
      </c>
      <c r="C106" s="171" t="s">
        <v>244</v>
      </c>
      <c r="D106" s="170" t="s">
        <v>26</v>
      </c>
      <c r="E106" s="407" t="s">
        <v>245</v>
      </c>
      <c r="F106" s="407"/>
      <c r="G106" s="172">
        <f>G13*150.632</f>
        <v>150.63200000000001</v>
      </c>
      <c r="H106" s="172">
        <f>G13*16.5965</f>
        <v>16.596499999999999</v>
      </c>
      <c r="T106"/>
    </row>
    <row r="107" spans="1:21" ht="72.599999999999994" customHeight="1">
      <c r="A107" s="405"/>
      <c r="B107" s="199" t="s">
        <v>68</v>
      </c>
      <c r="C107" s="171" t="s">
        <v>246</v>
      </c>
      <c r="D107" s="170" t="s">
        <v>27</v>
      </c>
      <c r="E107" s="407" t="s">
        <v>245</v>
      </c>
      <c r="F107" s="407"/>
      <c r="G107" s="172">
        <f>G13*817</f>
        <v>817</v>
      </c>
      <c r="H107" s="172">
        <f>G13*0</f>
        <v>0</v>
      </c>
      <c r="T107"/>
    </row>
    <row r="108" spans="1:21" ht="15" customHeight="1">
      <c r="A108" s="401"/>
      <c r="B108" s="401"/>
      <c r="C108" s="401"/>
      <c r="D108" s="401"/>
      <c r="E108" s="401"/>
      <c r="F108" s="401"/>
      <c r="G108" s="401"/>
      <c r="H108" s="402"/>
      <c r="T108"/>
    </row>
    <row r="109" spans="1:21" ht="17.25" customHeight="1">
      <c r="A109" s="246" t="s">
        <v>91</v>
      </c>
      <c r="B109" s="246"/>
      <c r="C109" s="246"/>
      <c r="D109" s="246"/>
      <c r="E109" s="246"/>
      <c r="F109" s="246"/>
      <c r="G109" s="247"/>
      <c r="H109" s="247"/>
      <c r="T109"/>
    </row>
    <row r="110" spans="1:21" ht="15.75" customHeight="1">
      <c r="A110" s="246"/>
      <c r="B110" s="246"/>
      <c r="C110" s="246"/>
      <c r="D110" s="246"/>
      <c r="E110" s="246"/>
      <c r="F110" s="246"/>
      <c r="G110" s="248"/>
      <c r="H110" s="248"/>
      <c r="T110"/>
    </row>
    <row r="111" spans="1:21" ht="49.15" customHeight="1">
      <c r="A111" s="399"/>
      <c r="B111" s="69">
        <v>900</v>
      </c>
      <c r="C111" s="70" t="s">
        <v>214</v>
      </c>
      <c r="D111" s="71" t="s">
        <v>11</v>
      </c>
      <c r="E111" s="353" t="s">
        <v>215</v>
      </c>
      <c r="F111" s="353"/>
      <c r="G111" s="72"/>
      <c r="H111" s="73"/>
      <c r="T111"/>
    </row>
    <row r="112" spans="1:21" ht="15" customHeight="1">
      <c r="A112" s="399"/>
      <c r="B112" s="200" t="s">
        <v>69</v>
      </c>
      <c r="C112" s="173" t="s">
        <v>12</v>
      </c>
      <c r="D112" s="45"/>
      <c r="E112" s="365"/>
      <c r="F112" s="365"/>
      <c r="G112" s="64">
        <f>G13*1761.87</f>
        <v>1761.87</v>
      </c>
      <c r="H112" s="65">
        <f>G13*193.8057</f>
        <v>193.8057</v>
      </c>
      <c r="T112"/>
    </row>
    <row r="113" spans="1:21" ht="15" customHeight="1">
      <c r="A113" s="399"/>
      <c r="B113" s="200" t="s">
        <v>70</v>
      </c>
      <c r="C113" s="173" t="s">
        <v>13</v>
      </c>
      <c r="D113" s="45"/>
      <c r="E113" s="365"/>
      <c r="F113" s="365"/>
      <c r="G113" s="64">
        <f>G13*2156.88</f>
        <v>2156.88</v>
      </c>
      <c r="H113" s="65">
        <f>G13*237.2568</f>
        <v>237.2568</v>
      </c>
      <c r="T113"/>
    </row>
    <row r="114" spans="1:21" ht="49.9" customHeight="1">
      <c r="A114" s="399"/>
      <c r="B114" s="74">
        <v>901</v>
      </c>
      <c r="C114" s="173" t="s">
        <v>216</v>
      </c>
      <c r="D114" s="75" t="s">
        <v>11</v>
      </c>
      <c r="E114" s="366" t="s">
        <v>217</v>
      </c>
      <c r="F114" s="366"/>
      <c r="G114" s="64"/>
      <c r="H114" s="76"/>
      <c r="T114"/>
      <c r="U114"/>
    </row>
    <row r="115" spans="1:21" ht="15" customHeight="1">
      <c r="A115" s="399"/>
      <c r="B115" s="200" t="s">
        <v>71</v>
      </c>
      <c r="C115" s="173" t="s">
        <v>12</v>
      </c>
      <c r="D115" s="45"/>
      <c r="E115" s="365"/>
      <c r="F115" s="365"/>
      <c r="G115" s="64">
        <f>G13*2427.535</f>
        <v>2427.5349999999999</v>
      </c>
      <c r="H115" s="65">
        <f>G13*267.02885</f>
        <v>267.02884999999998</v>
      </c>
      <c r="T115"/>
      <c r="U115"/>
    </row>
    <row r="116" spans="1:21" ht="15" customHeight="1">
      <c r="A116" s="399"/>
      <c r="B116" s="200" t="s">
        <v>73</v>
      </c>
      <c r="C116" s="173" t="s">
        <v>13</v>
      </c>
      <c r="D116" s="45"/>
      <c r="E116" s="365"/>
      <c r="F116" s="365"/>
      <c r="G116" s="64">
        <f>G13*2935.405</f>
        <v>2935.4050000000002</v>
      </c>
      <c r="H116" s="65">
        <f>G13*322.89455</f>
        <v>322.89454999999998</v>
      </c>
      <c r="T116"/>
      <c r="U116"/>
    </row>
    <row r="117" spans="1:21" ht="15" customHeight="1">
      <c r="A117" s="399"/>
      <c r="B117" s="74">
        <v>902</v>
      </c>
      <c r="C117" s="77" t="s">
        <v>14</v>
      </c>
      <c r="D117" s="45"/>
      <c r="E117" s="367"/>
      <c r="F117" s="368"/>
      <c r="G117" s="64"/>
      <c r="H117" s="65"/>
      <c r="T117"/>
      <c r="U117"/>
    </row>
    <row r="118" spans="1:21" ht="52.9" customHeight="1">
      <c r="A118" s="399"/>
      <c r="B118" s="201" t="s">
        <v>74</v>
      </c>
      <c r="C118" s="141" t="s">
        <v>15</v>
      </c>
      <c r="D118" s="45" t="s">
        <v>16</v>
      </c>
      <c r="E118" s="369" t="s">
        <v>218</v>
      </c>
      <c r="F118" s="369"/>
      <c r="G118" s="64">
        <f>G13*221.476466923077</f>
        <v>221.476466923077</v>
      </c>
      <c r="H118" s="65">
        <f>G13*24.3624113615385</f>
        <v>24.362411361538499</v>
      </c>
      <c r="T118"/>
      <c r="U118"/>
    </row>
    <row r="119" spans="1:21" ht="60" customHeight="1">
      <c r="A119" s="399"/>
      <c r="B119" s="201" t="s">
        <v>75</v>
      </c>
      <c r="C119" s="173" t="s">
        <v>219</v>
      </c>
      <c r="D119" s="45" t="s">
        <v>16</v>
      </c>
      <c r="E119" s="366" t="s">
        <v>220</v>
      </c>
      <c r="F119" s="366"/>
      <c r="G119" s="64">
        <f>G13*866.7903134375</f>
        <v>866.7903134375</v>
      </c>
      <c r="H119" s="65">
        <f>G13*95.346934478125</f>
        <v>95.346934478124993</v>
      </c>
      <c r="T119"/>
      <c r="U119"/>
    </row>
    <row r="120" spans="1:21" ht="55.9" customHeight="1">
      <c r="A120" s="399"/>
      <c r="B120" s="201" t="s">
        <v>76</v>
      </c>
      <c r="C120" s="173" t="s">
        <v>221</v>
      </c>
      <c r="D120" s="45" t="s">
        <v>16</v>
      </c>
      <c r="E120" s="366" t="s">
        <v>222</v>
      </c>
      <c r="F120" s="366"/>
      <c r="G120" s="64">
        <f>G13*1906.76</f>
        <v>1906.76</v>
      </c>
      <c r="H120" s="65">
        <f>G13*211.1213735125</f>
        <v>211.12137351250001</v>
      </c>
      <c r="T120"/>
      <c r="U120"/>
    </row>
    <row r="121" spans="1:21" ht="51" customHeight="1">
      <c r="A121" s="399"/>
      <c r="B121" s="201" t="s">
        <v>77</v>
      </c>
      <c r="C121" s="173" t="s">
        <v>223</v>
      </c>
      <c r="D121" s="45" t="s">
        <v>16</v>
      </c>
      <c r="E121" s="366" t="s">
        <v>224</v>
      </c>
      <c r="F121" s="366"/>
      <c r="G121" s="64">
        <f>G13*640.3</f>
        <v>640.29999999999995</v>
      </c>
      <c r="H121" s="65">
        <f>G13*61.75</f>
        <v>61.75</v>
      </c>
      <c r="T121"/>
      <c r="U121"/>
    </row>
    <row r="122" spans="1:21" ht="53.45" customHeight="1">
      <c r="A122" s="399"/>
      <c r="B122" s="201" t="s">
        <v>78</v>
      </c>
      <c r="C122" s="173" t="s">
        <v>225</v>
      </c>
      <c r="D122" s="45" t="s">
        <v>16</v>
      </c>
      <c r="E122" s="366" t="s">
        <v>226</v>
      </c>
      <c r="F122" s="366"/>
      <c r="G122" s="64">
        <f>G13*116.375</f>
        <v>116.375</v>
      </c>
      <c r="H122" s="65">
        <f>G13*11.4</f>
        <v>11.4</v>
      </c>
      <c r="T122"/>
      <c r="U122"/>
    </row>
    <row r="123" spans="1:21" ht="43.9" customHeight="1">
      <c r="A123" s="399"/>
      <c r="B123" s="74">
        <v>903</v>
      </c>
      <c r="C123" s="173" t="s">
        <v>227</v>
      </c>
      <c r="D123" s="68" t="s">
        <v>17</v>
      </c>
      <c r="E123" s="366" t="s">
        <v>228</v>
      </c>
      <c r="F123" s="366"/>
      <c r="G123" s="64"/>
      <c r="H123" s="65"/>
      <c r="T123"/>
      <c r="U123"/>
    </row>
    <row r="124" spans="1:21" ht="23.25" customHeight="1">
      <c r="A124" s="399"/>
      <c r="B124" s="195" t="s">
        <v>79</v>
      </c>
      <c r="C124" s="173" t="s">
        <v>12</v>
      </c>
      <c r="D124" s="45" t="s">
        <v>17</v>
      </c>
      <c r="E124" s="365"/>
      <c r="F124" s="365"/>
      <c r="G124" s="64">
        <f>G13*1242.505</f>
        <v>1242.5050000000001</v>
      </c>
      <c r="H124" s="65">
        <f>G13*136.67555</f>
        <v>136.67554999999999</v>
      </c>
      <c r="T124"/>
      <c r="U124"/>
    </row>
    <row r="125" spans="1:21" ht="25.5" customHeight="1">
      <c r="A125" s="399"/>
      <c r="B125" s="195" t="s">
        <v>72</v>
      </c>
      <c r="C125" s="173" t="s">
        <v>13</v>
      </c>
      <c r="D125" s="45" t="s">
        <v>17</v>
      </c>
      <c r="E125" s="365"/>
      <c r="F125" s="365"/>
      <c r="G125" s="64">
        <f>G13*1411.795</f>
        <v>1411.7950000000001</v>
      </c>
      <c r="H125" s="65">
        <f>G13*155.29745</f>
        <v>155.29745</v>
      </c>
      <c r="T125"/>
      <c r="U125"/>
    </row>
    <row r="126" spans="1:21" ht="126.6" customHeight="1">
      <c r="A126" s="399"/>
      <c r="B126" s="78">
        <v>904</v>
      </c>
      <c r="C126" s="79" t="s">
        <v>229</v>
      </c>
      <c r="D126" s="63" t="s">
        <v>10</v>
      </c>
      <c r="E126" s="369" t="s">
        <v>437</v>
      </c>
      <c r="F126" s="369"/>
      <c r="G126" s="64">
        <f>G13*20615</f>
        <v>20615</v>
      </c>
      <c r="H126" s="65">
        <f>G13*2267.65</f>
        <v>2267.65</v>
      </c>
      <c r="T126"/>
      <c r="U126"/>
    </row>
    <row r="127" spans="1:21" ht="126" customHeight="1">
      <c r="A127" s="399"/>
      <c r="B127" s="202" t="s">
        <v>83</v>
      </c>
      <c r="C127" s="165" t="s">
        <v>240</v>
      </c>
      <c r="D127" s="174" t="s">
        <v>10</v>
      </c>
      <c r="E127" s="369" t="s">
        <v>230</v>
      </c>
      <c r="F127" s="369"/>
      <c r="G127" s="64">
        <f>G13*18445</f>
        <v>18445</v>
      </c>
      <c r="H127" s="65">
        <f>G13*2712.5</f>
        <v>2712.5</v>
      </c>
      <c r="T127"/>
      <c r="U127"/>
    </row>
    <row r="128" spans="1:21" ht="270" customHeight="1">
      <c r="A128" s="399"/>
      <c r="B128" s="80" t="s">
        <v>84</v>
      </c>
      <c r="C128" s="81" t="s">
        <v>231</v>
      </c>
      <c r="D128" s="8" t="s">
        <v>41</v>
      </c>
      <c r="E128" s="393" t="s">
        <v>232</v>
      </c>
      <c r="F128" s="394"/>
      <c r="G128" s="64">
        <f>G13*1847750</f>
        <v>1847750</v>
      </c>
      <c r="H128" s="65">
        <f>G13*203252.5</f>
        <v>203252.5</v>
      </c>
      <c r="T128"/>
      <c r="U128"/>
    </row>
    <row r="129" spans="1:22" ht="116.45" customHeight="1">
      <c r="A129" s="399"/>
      <c r="B129" s="66">
        <v>906</v>
      </c>
      <c r="C129" s="82" t="s">
        <v>233</v>
      </c>
      <c r="D129" s="7" t="s">
        <v>44</v>
      </c>
      <c r="E129" s="395" t="s">
        <v>234</v>
      </c>
      <c r="F129" s="395"/>
      <c r="G129" s="64">
        <f>G13*715628.6445</f>
        <v>715628.64450000005</v>
      </c>
      <c r="H129" s="65">
        <f>G13*93031.7235</f>
        <v>93031.723499999993</v>
      </c>
      <c r="T129"/>
      <c r="U129"/>
    </row>
    <row r="130" spans="1:22" ht="90.6" customHeight="1">
      <c r="A130" s="399"/>
      <c r="B130" s="66">
        <v>907</v>
      </c>
      <c r="C130" s="83" t="s">
        <v>235</v>
      </c>
      <c r="D130" s="7" t="s">
        <v>44</v>
      </c>
      <c r="E130" s="396" t="s">
        <v>236</v>
      </c>
      <c r="F130" s="396"/>
      <c r="G130" s="64">
        <f>G13*1556042.145</f>
        <v>1556042.145</v>
      </c>
      <c r="H130" s="65">
        <f>G13*77802.112</f>
        <v>77802.111999999994</v>
      </c>
      <c r="T130"/>
      <c r="U130"/>
    </row>
    <row r="131" spans="1:22" ht="100.15" customHeight="1">
      <c r="A131" s="399"/>
      <c r="B131" s="61">
        <v>908</v>
      </c>
      <c r="C131" s="62" t="s">
        <v>237</v>
      </c>
      <c r="D131" s="63" t="s">
        <v>7</v>
      </c>
      <c r="E131" s="386" t="s">
        <v>436</v>
      </c>
      <c r="F131" s="387"/>
      <c r="G131" s="64">
        <f>G13*43113.85</f>
        <v>43113.85</v>
      </c>
      <c r="H131" s="65">
        <f>G13*4742.4</f>
        <v>4742.3999999999996</v>
      </c>
      <c r="T131"/>
      <c r="U131"/>
    </row>
    <row r="132" spans="1:22" ht="114.6" customHeight="1">
      <c r="A132" s="399"/>
      <c r="B132" s="203" t="s">
        <v>85</v>
      </c>
      <c r="C132" s="175" t="s">
        <v>104</v>
      </c>
      <c r="D132" s="176" t="s">
        <v>35</v>
      </c>
      <c r="E132" s="339" t="s">
        <v>238</v>
      </c>
      <c r="F132" s="340"/>
      <c r="G132" s="64">
        <f>G13*29156.925</f>
        <v>29156.924999999999</v>
      </c>
      <c r="H132" s="65">
        <f>G13*2945</f>
        <v>2945</v>
      </c>
      <c r="T132"/>
      <c r="U132"/>
    </row>
    <row r="133" spans="1:22" ht="91.9" customHeight="1">
      <c r="A133" s="399"/>
      <c r="B133" s="203" t="s">
        <v>176</v>
      </c>
      <c r="C133" s="175" t="s">
        <v>241</v>
      </c>
      <c r="D133" s="177" t="s">
        <v>8</v>
      </c>
      <c r="E133" s="339" t="s">
        <v>239</v>
      </c>
      <c r="F133" s="340"/>
      <c r="G133" s="64">
        <f>G13*14250</f>
        <v>14250</v>
      </c>
      <c r="H133" s="65">
        <f>G13*1710</f>
        <v>1710</v>
      </c>
      <c r="T133"/>
      <c r="U133"/>
    </row>
    <row r="134" spans="1:22" ht="66.599999999999994" customHeight="1">
      <c r="A134" s="399"/>
      <c r="B134" s="204">
        <v>909</v>
      </c>
      <c r="C134" s="165" t="s">
        <v>212</v>
      </c>
      <c r="D134" s="63" t="s">
        <v>8</v>
      </c>
      <c r="E134" s="386" t="s">
        <v>213</v>
      </c>
      <c r="F134" s="387"/>
      <c r="G134" s="64"/>
      <c r="H134" s="65"/>
      <c r="T134"/>
      <c r="U134"/>
    </row>
    <row r="135" spans="1:22" ht="24.75" customHeight="1">
      <c r="A135" s="399"/>
      <c r="B135" s="185" t="s">
        <v>86</v>
      </c>
      <c r="C135" s="178" t="s">
        <v>51</v>
      </c>
      <c r="D135" s="179" t="s">
        <v>9</v>
      </c>
      <c r="E135" s="388"/>
      <c r="F135" s="389"/>
      <c r="G135" s="64">
        <f>G13*52449.02975</f>
        <v>52449.029750000002</v>
      </c>
      <c r="H135" s="65">
        <f>G13*6293.88357</f>
        <v>6293.88357</v>
      </c>
      <c r="T135"/>
      <c r="U135"/>
    </row>
    <row r="136" spans="1:22" ht="27" customHeight="1">
      <c r="A136" s="399"/>
      <c r="B136" s="185" t="s">
        <v>87</v>
      </c>
      <c r="C136" s="178" t="s">
        <v>52</v>
      </c>
      <c r="D136" s="179" t="s">
        <v>9</v>
      </c>
      <c r="E136" s="388"/>
      <c r="F136" s="389"/>
      <c r="G136" s="64">
        <f>G13*43116.87575</f>
        <v>43116.875749999999</v>
      </c>
      <c r="H136" s="65">
        <f>G13*5174.02509</f>
        <v>5174.0250900000001</v>
      </c>
      <c r="T136"/>
      <c r="U136"/>
    </row>
    <row r="137" spans="1:22" ht="27" customHeight="1">
      <c r="A137" s="399"/>
      <c r="B137" s="185" t="s">
        <v>88</v>
      </c>
      <c r="C137" s="178" t="s">
        <v>53</v>
      </c>
      <c r="D137" s="179" t="s">
        <v>9</v>
      </c>
      <c r="E137" s="388"/>
      <c r="F137" s="389"/>
      <c r="G137" s="64">
        <f>G13*37666.8578</f>
        <v>37666.857799999998</v>
      </c>
      <c r="H137" s="65">
        <f>G13*4520.022936</f>
        <v>4520.0229360000003</v>
      </c>
      <c r="T137"/>
      <c r="U137"/>
    </row>
    <row r="138" spans="1:22" ht="23.25" customHeight="1">
      <c r="A138" s="399"/>
      <c r="B138" s="185" t="s">
        <v>89</v>
      </c>
      <c r="C138" s="178" t="s">
        <v>54</v>
      </c>
      <c r="D138" s="179" t="s">
        <v>9</v>
      </c>
      <c r="E138" s="388"/>
      <c r="F138" s="389"/>
      <c r="G138" s="64">
        <f>G13*27191.964</f>
        <v>27191.964</v>
      </c>
      <c r="H138" s="65">
        <f>G13*2991.55</f>
        <v>2991.55</v>
      </c>
      <c r="T138"/>
      <c r="U138"/>
    </row>
    <row r="139" spans="1:22" ht="151.9" customHeight="1">
      <c r="A139" s="399"/>
      <c r="B139" s="61">
        <v>910</v>
      </c>
      <c r="C139" s="62" t="s">
        <v>209</v>
      </c>
      <c r="D139" s="63" t="s">
        <v>5</v>
      </c>
      <c r="E139" s="386" t="s">
        <v>210</v>
      </c>
      <c r="F139" s="387"/>
      <c r="G139" s="64">
        <f>G13*1463.646</f>
        <v>1463.646</v>
      </c>
      <c r="H139" s="65">
        <f>G13*161.006</f>
        <v>161.006</v>
      </c>
      <c r="T139"/>
      <c r="U139"/>
    </row>
    <row r="140" spans="1:22" ht="47.45" customHeight="1">
      <c r="A140" s="400"/>
      <c r="B140" s="66">
        <v>911</v>
      </c>
      <c r="C140" s="67" t="s">
        <v>34</v>
      </c>
      <c r="D140" s="68" t="s">
        <v>20</v>
      </c>
      <c r="E140" s="351" t="s">
        <v>211</v>
      </c>
      <c r="F140" s="351"/>
      <c r="G140" s="64">
        <f>G13*3657.5</f>
        <v>3657.5</v>
      </c>
      <c r="H140" s="65">
        <f>G13*0</f>
        <v>0</v>
      </c>
      <c r="T140"/>
      <c r="U140"/>
    </row>
    <row r="141" spans="1:22" ht="14.45" customHeight="1">
      <c r="A141" s="26"/>
      <c r="B141" s="36"/>
      <c r="C141" s="47"/>
      <c r="D141" s="27"/>
      <c r="E141" s="28"/>
      <c r="F141" s="28"/>
      <c r="G141" s="9"/>
      <c r="H141" s="29"/>
      <c r="T141"/>
      <c r="U141"/>
      <c r="V141"/>
    </row>
    <row r="142" spans="1:22" ht="43.5" customHeight="1">
      <c r="A142" s="184" t="s">
        <v>91</v>
      </c>
      <c r="B142" s="229" t="s">
        <v>317</v>
      </c>
      <c r="C142" s="229"/>
      <c r="D142" s="229"/>
      <c r="E142" s="229"/>
      <c r="F142" s="229"/>
      <c r="G142" s="390"/>
      <c r="H142" s="390"/>
      <c r="T142"/>
      <c r="U142"/>
      <c r="V142"/>
    </row>
    <row r="143" spans="1:22" ht="84.6" customHeight="1">
      <c r="A143" s="56"/>
      <c r="B143" s="180">
        <v>1001</v>
      </c>
      <c r="C143" s="181" t="s">
        <v>425</v>
      </c>
      <c r="D143" s="182" t="s">
        <v>138</v>
      </c>
      <c r="E143" s="234" t="s">
        <v>342</v>
      </c>
      <c r="F143" s="235"/>
      <c r="G143" s="183">
        <f>G13*726.07</f>
        <v>726.07</v>
      </c>
      <c r="H143" s="183">
        <f>G13*72.61</f>
        <v>72.61</v>
      </c>
      <c r="T143"/>
      <c r="U143"/>
      <c r="V143"/>
    </row>
    <row r="144" spans="1:22" ht="90" customHeight="1">
      <c r="A144" s="56"/>
      <c r="B144" s="52">
        <v>1002</v>
      </c>
      <c r="C144" s="58" t="s">
        <v>426</v>
      </c>
      <c r="D144" s="46" t="s">
        <v>138</v>
      </c>
      <c r="E144" s="225" t="s">
        <v>343</v>
      </c>
      <c r="F144" s="233"/>
      <c r="G144" s="59">
        <f>G13*1460.25</f>
        <v>1460.25</v>
      </c>
      <c r="H144" s="59">
        <f>G13*146.03</f>
        <v>146.03</v>
      </c>
      <c r="T144"/>
      <c r="U144"/>
      <c r="V144"/>
    </row>
    <row r="145" spans="1:23" ht="84" customHeight="1">
      <c r="A145" s="56"/>
      <c r="B145" s="52">
        <v>1003</v>
      </c>
      <c r="C145" s="58" t="s">
        <v>427</v>
      </c>
      <c r="D145" s="46" t="s">
        <v>138</v>
      </c>
      <c r="E145" s="225" t="s">
        <v>344</v>
      </c>
      <c r="F145" s="233"/>
      <c r="G145" s="59">
        <f>G13*726.07</f>
        <v>726.07</v>
      </c>
      <c r="H145" s="59">
        <f>G13*72.61</f>
        <v>72.61</v>
      </c>
      <c r="T145"/>
      <c r="U145"/>
      <c r="V145"/>
    </row>
    <row r="146" spans="1:23" ht="98.45" customHeight="1">
      <c r="A146" s="56"/>
      <c r="B146" s="52">
        <v>1004</v>
      </c>
      <c r="C146" s="58" t="s">
        <v>428</v>
      </c>
      <c r="D146" s="46" t="s">
        <v>138</v>
      </c>
      <c r="E146" s="225" t="s">
        <v>345</v>
      </c>
      <c r="F146" s="233"/>
      <c r="G146" s="59">
        <f>G13*1312.4</f>
        <v>1312.4</v>
      </c>
      <c r="H146" s="59">
        <f>G13*131.24</f>
        <v>131.24</v>
      </c>
      <c r="T146"/>
      <c r="U146"/>
      <c r="V146"/>
    </row>
    <row r="147" spans="1:23" ht="76.150000000000006" customHeight="1">
      <c r="A147" s="56"/>
      <c r="B147" s="52">
        <v>1006</v>
      </c>
      <c r="C147" s="58" t="s">
        <v>181</v>
      </c>
      <c r="D147" s="46" t="s">
        <v>138</v>
      </c>
      <c r="E147" s="225" t="s">
        <v>346</v>
      </c>
      <c r="F147" s="233"/>
      <c r="G147" s="59">
        <f>G13*1023.37</f>
        <v>1023.37</v>
      </c>
      <c r="H147" s="59">
        <f>G13*102.34</f>
        <v>102.34</v>
      </c>
      <c r="T147"/>
      <c r="U147"/>
      <c r="V147"/>
    </row>
    <row r="148" spans="1:23" ht="85.15" customHeight="1">
      <c r="A148" s="56"/>
      <c r="B148" s="52">
        <v>1007</v>
      </c>
      <c r="C148" s="35" t="s">
        <v>182</v>
      </c>
      <c r="D148" s="46" t="s">
        <v>138</v>
      </c>
      <c r="E148" s="225" t="s">
        <v>347</v>
      </c>
      <c r="F148" s="226"/>
      <c r="G148" s="59">
        <f>G13*1752.5</f>
        <v>1752.5</v>
      </c>
      <c r="H148" s="59">
        <f>G13*175.25</f>
        <v>175.25</v>
      </c>
      <c r="T148"/>
      <c r="U148"/>
      <c r="V148"/>
    </row>
    <row r="149" spans="1:23" ht="88.15" customHeight="1">
      <c r="A149" s="56"/>
      <c r="B149" s="52">
        <v>1008</v>
      </c>
      <c r="C149" s="35" t="s">
        <v>323</v>
      </c>
      <c r="D149" s="46" t="s">
        <v>138</v>
      </c>
      <c r="E149" s="225" t="s">
        <v>348</v>
      </c>
      <c r="F149" s="233"/>
      <c r="G149" s="59">
        <f>G13*1023.37</f>
        <v>1023.37</v>
      </c>
      <c r="H149" s="59">
        <f>G13*102.34</f>
        <v>102.34</v>
      </c>
      <c r="T149"/>
      <c r="U149"/>
      <c r="V149"/>
    </row>
    <row r="150" spans="1:23" ht="96.6" customHeight="1">
      <c r="A150" s="56"/>
      <c r="B150" s="52">
        <v>1009</v>
      </c>
      <c r="C150" s="35" t="s">
        <v>324</v>
      </c>
      <c r="D150" s="46" t="s">
        <v>138</v>
      </c>
      <c r="E150" s="225" t="s">
        <v>349</v>
      </c>
      <c r="F150" s="233"/>
      <c r="G150" s="59">
        <f>G13*1609.7</f>
        <v>1609.7</v>
      </c>
      <c r="H150" s="59">
        <f>G13*160.97</f>
        <v>160.97</v>
      </c>
      <c r="T150"/>
      <c r="U150"/>
    </row>
    <row r="151" spans="1:23" ht="75" customHeight="1">
      <c r="A151" s="56"/>
      <c r="B151" s="52">
        <v>1010</v>
      </c>
      <c r="C151" s="35" t="s">
        <v>305</v>
      </c>
      <c r="D151" s="46" t="s">
        <v>138</v>
      </c>
      <c r="E151" s="225" t="s">
        <v>350</v>
      </c>
      <c r="F151" s="226"/>
      <c r="G151" s="59">
        <f>G13*681.5</f>
        <v>681.5</v>
      </c>
      <c r="H151" s="59">
        <f>G13*68.15</f>
        <v>68.150000000000006</v>
      </c>
      <c r="T151"/>
      <c r="U151"/>
    </row>
    <row r="152" spans="1:23" ht="90" customHeight="1">
      <c r="A152" s="56"/>
      <c r="B152" s="52">
        <v>1011</v>
      </c>
      <c r="C152" s="35" t="s">
        <v>306</v>
      </c>
      <c r="D152" s="46" t="s">
        <v>138</v>
      </c>
      <c r="E152" s="225" t="s">
        <v>351</v>
      </c>
      <c r="F152" s="226"/>
      <c r="G152" s="59">
        <f>G13*1249</f>
        <v>1249</v>
      </c>
      <c r="H152" s="59">
        <f>G13*124.9</f>
        <v>124.9</v>
      </c>
      <c r="T152"/>
      <c r="U152"/>
    </row>
    <row r="153" spans="1:23" ht="85.15" customHeight="1">
      <c r="A153" s="56"/>
      <c r="B153" s="52">
        <v>1012</v>
      </c>
      <c r="C153" s="35" t="s">
        <v>325</v>
      </c>
      <c r="D153" s="46" t="s">
        <v>138</v>
      </c>
      <c r="E153" s="225" t="s">
        <v>352</v>
      </c>
      <c r="F153" s="226"/>
      <c r="G153" s="59">
        <f>G13*681.5</f>
        <v>681.5</v>
      </c>
      <c r="H153" s="59">
        <f>G13*68.15</f>
        <v>68.150000000000006</v>
      </c>
      <c r="T153"/>
      <c r="U153"/>
    </row>
    <row r="154" spans="1:23" ht="99.6" customHeight="1">
      <c r="A154" s="56"/>
      <c r="B154" s="52">
        <v>1013</v>
      </c>
      <c r="C154" s="35" t="s">
        <v>326</v>
      </c>
      <c r="D154" s="46" t="s">
        <v>138</v>
      </c>
      <c r="E154" s="225" t="s">
        <v>353</v>
      </c>
      <c r="F154" s="226"/>
      <c r="G154" s="59">
        <f>G13*1174</f>
        <v>1174</v>
      </c>
      <c r="H154" s="59">
        <f>G13*117.4</f>
        <v>117.4</v>
      </c>
      <c r="T154"/>
      <c r="U154"/>
    </row>
    <row r="155" spans="1:23" ht="75" customHeight="1">
      <c r="A155" s="56"/>
      <c r="B155" s="52">
        <v>1014</v>
      </c>
      <c r="C155" s="35" t="s">
        <v>313</v>
      </c>
      <c r="D155" s="46" t="s">
        <v>138</v>
      </c>
      <c r="E155" s="225" t="s">
        <v>354</v>
      </c>
      <c r="F155" s="226"/>
      <c r="G155" s="59">
        <f>G13*768.52</f>
        <v>768.52</v>
      </c>
      <c r="H155" s="59">
        <f>G13*76.85</f>
        <v>76.849999999999994</v>
      </c>
      <c r="T155"/>
      <c r="U155"/>
    </row>
    <row r="156" spans="1:23" ht="84" customHeight="1">
      <c r="A156" s="56"/>
      <c r="B156" s="52">
        <v>1015</v>
      </c>
      <c r="C156" s="35" t="s">
        <v>314</v>
      </c>
      <c r="D156" s="46" t="s">
        <v>138</v>
      </c>
      <c r="E156" s="225" t="s">
        <v>355</v>
      </c>
      <c r="F156" s="226"/>
      <c r="G156" s="59">
        <f>G13*1796</f>
        <v>1796</v>
      </c>
      <c r="H156" s="59">
        <f>G13*179.6</f>
        <v>179.6</v>
      </c>
      <c r="T156"/>
      <c r="U156"/>
    </row>
    <row r="157" spans="1:23" ht="79.150000000000006" customHeight="1">
      <c r="A157" s="56"/>
      <c r="B157" s="52">
        <v>1016</v>
      </c>
      <c r="C157" s="35" t="s">
        <v>327</v>
      </c>
      <c r="D157" s="46" t="s">
        <v>138</v>
      </c>
      <c r="E157" s="225" t="s">
        <v>356</v>
      </c>
      <c r="F157" s="226"/>
      <c r="G157" s="59">
        <f>G13*768.52</f>
        <v>768.52</v>
      </c>
      <c r="H157" s="59">
        <f>G13*76.85</f>
        <v>76.849999999999994</v>
      </c>
      <c r="T157"/>
      <c r="U157"/>
    </row>
    <row r="158" spans="1:23" ht="95.45" customHeight="1">
      <c r="A158" s="56"/>
      <c r="B158" s="52">
        <v>1017</v>
      </c>
      <c r="C158" s="35" t="s">
        <v>328</v>
      </c>
      <c r="D158" s="46" t="s">
        <v>138</v>
      </c>
      <c r="E158" s="225" t="s">
        <v>357</v>
      </c>
      <c r="F158" s="226"/>
      <c r="G158" s="59">
        <f>G13*1354.85</f>
        <v>1354.85</v>
      </c>
      <c r="H158" s="59">
        <f>G13*135.49</f>
        <v>135.49</v>
      </c>
      <c r="T158"/>
      <c r="U158"/>
      <c r="V158"/>
      <c r="W158"/>
    </row>
    <row r="159" spans="1:23" ht="75" customHeight="1">
      <c r="A159" s="56"/>
      <c r="B159" s="52">
        <v>1022</v>
      </c>
      <c r="C159" s="35" t="s">
        <v>303</v>
      </c>
      <c r="D159" s="46" t="s">
        <v>8</v>
      </c>
      <c r="E159" s="225" t="s">
        <v>337</v>
      </c>
      <c r="F159" s="226"/>
      <c r="G159" s="59">
        <f>G13*590.9</f>
        <v>590.9</v>
      </c>
      <c r="H159" s="59">
        <f>G13*59.09</f>
        <v>59.09</v>
      </c>
      <c r="T159"/>
      <c r="U159"/>
      <c r="V159"/>
      <c r="W159"/>
    </row>
    <row r="160" spans="1:23" ht="72.599999999999994" customHeight="1">
      <c r="A160" s="56"/>
      <c r="B160" s="188" t="s">
        <v>310</v>
      </c>
      <c r="C160" s="35" t="s">
        <v>432</v>
      </c>
      <c r="D160" s="46" t="s">
        <v>8</v>
      </c>
      <c r="E160" s="225" t="s">
        <v>338</v>
      </c>
      <c r="F160" s="226"/>
      <c r="G160" s="59">
        <f>G13*147.193</f>
        <v>147.19300000000001</v>
      </c>
      <c r="H160" s="59">
        <f>G13*14.5825</f>
        <v>14.5825</v>
      </c>
      <c r="T160"/>
      <c r="U160"/>
      <c r="V160"/>
      <c r="W160"/>
    </row>
    <row r="161" spans="1:23" ht="74.45" customHeight="1">
      <c r="A161" s="56"/>
      <c r="B161" s="188" t="s">
        <v>311</v>
      </c>
      <c r="C161" s="35" t="s">
        <v>433</v>
      </c>
      <c r="D161" s="46" t="s">
        <v>8</v>
      </c>
      <c r="E161" s="225" t="s">
        <v>339</v>
      </c>
      <c r="F161" s="226"/>
      <c r="G161" s="59">
        <f>G13*113</f>
        <v>113</v>
      </c>
      <c r="H161" s="59">
        <f>G13*0</f>
        <v>0</v>
      </c>
      <c r="T161"/>
      <c r="U161"/>
      <c r="V161"/>
      <c r="W161"/>
    </row>
    <row r="162" spans="1:23" ht="73.900000000000006" customHeight="1">
      <c r="A162" s="56"/>
      <c r="B162" s="188" t="s">
        <v>312</v>
      </c>
      <c r="C162" s="35" t="s">
        <v>434</v>
      </c>
      <c r="D162" s="46" t="s">
        <v>8</v>
      </c>
      <c r="E162" s="225" t="s">
        <v>340</v>
      </c>
      <c r="F162" s="226"/>
      <c r="G162" s="59">
        <f>G13*113</f>
        <v>113</v>
      </c>
      <c r="H162" s="59">
        <f>G13*0</f>
        <v>0</v>
      </c>
      <c r="T162"/>
      <c r="U162"/>
      <c r="V162"/>
      <c r="W162"/>
    </row>
    <row r="163" spans="1:23" ht="100.15" customHeight="1">
      <c r="A163" s="56"/>
      <c r="B163" s="188" t="s">
        <v>336</v>
      </c>
      <c r="C163" s="35" t="s">
        <v>435</v>
      </c>
      <c r="D163" s="46" t="s">
        <v>8</v>
      </c>
      <c r="E163" s="225" t="s">
        <v>380</v>
      </c>
      <c r="F163" s="226"/>
      <c r="G163" s="59">
        <f>G13*113</f>
        <v>113</v>
      </c>
      <c r="H163" s="59">
        <f>G13*0</f>
        <v>0</v>
      </c>
      <c r="T163"/>
      <c r="U163"/>
      <c r="V163"/>
      <c r="W163"/>
    </row>
    <row r="164" spans="1:23" ht="77.45" customHeight="1">
      <c r="A164" s="56"/>
      <c r="B164" s="52">
        <v>1023</v>
      </c>
      <c r="C164" s="35" t="s">
        <v>304</v>
      </c>
      <c r="D164" s="46" t="s">
        <v>8</v>
      </c>
      <c r="E164" s="225" t="s">
        <v>341</v>
      </c>
      <c r="F164" s="226"/>
      <c r="G164" s="59">
        <f>G13*787.55</f>
        <v>787.55</v>
      </c>
      <c r="H164" s="59">
        <f>G13*78.755</f>
        <v>78.754999999999995</v>
      </c>
      <c r="T164"/>
      <c r="U164"/>
      <c r="V164"/>
      <c r="W164"/>
    </row>
    <row r="165" spans="1:23" ht="67.150000000000006" customHeight="1">
      <c r="A165" s="56"/>
      <c r="B165" s="52">
        <v>1025</v>
      </c>
      <c r="C165" s="35" t="s">
        <v>183</v>
      </c>
      <c r="D165" s="46" t="s">
        <v>45</v>
      </c>
      <c r="E165" s="225" t="s">
        <v>166</v>
      </c>
      <c r="F165" s="226"/>
      <c r="G165" s="59">
        <f>G13*126.35</f>
        <v>126.35</v>
      </c>
      <c r="H165" s="59">
        <f>G13*12.635</f>
        <v>12.635</v>
      </c>
      <c r="T165"/>
      <c r="U165"/>
      <c r="V165"/>
      <c r="W165"/>
    </row>
    <row r="166" spans="1:23" ht="123.6" customHeight="1">
      <c r="A166" s="56"/>
      <c r="B166" s="52">
        <v>1029</v>
      </c>
      <c r="C166" s="35" t="s">
        <v>429</v>
      </c>
      <c r="D166" s="46" t="s">
        <v>10</v>
      </c>
      <c r="E166" s="225" t="s">
        <v>384</v>
      </c>
      <c r="F166" s="226"/>
      <c r="G166" s="59">
        <f>G13*613.7</f>
        <v>613.70000000000005</v>
      </c>
      <c r="H166" s="59">
        <f>G13*61.37</f>
        <v>61.37</v>
      </c>
      <c r="T166"/>
      <c r="U166"/>
      <c r="V166"/>
      <c r="W166"/>
    </row>
    <row r="167" spans="1:23" ht="121.9" customHeight="1">
      <c r="A167" s="56"/>
      <c r="B167" s="52">
        <v>1030</v>
      </c>
      <c r="C167" s="35" t="s">
        <v>184</v>
      </c>
      <c r="D167" s="46" t="s">
        <v>10</v>
      </c>
      <c r="E167" s="225" t="s">
        <v>358</v>
      </c>
      <c r="F167" s="226"/>
      <c r="G167" s="59">
        <f>G13*2061.5</f>
        <v>2061.5</v>
      </c>
      <c r="H167" s="59">
        <f>G13*206.15</f>
        <v>206.15</v>
      </c>
      <c r="T167"/>
      <c r="U167"/>
      <c r="V167"/>
      <c r="W167"/>
    </row>
    <row r="168" spans="1:23" ht="93" customHeight="1">
      <c r="A168" s="56"/>
      <c r="B168" s="52">
        <v>1033</v>
      </c>
      <c r="C168" s="35" t="s">
        <v>431</v>
      </c>
      <c r="D168" s="46" t="s">
        <v>10</v>
      </c>
      <c r="E168" s="225" t="s">
        <v>359</v>
      </c>
      <c r="F168" s="226"/>
      <c r="G168" s="59">
        <f>G13*1796.45</f>
        <v>1796.45</v>
      </c>
      <c r="H168" s="59">
        <f>G13*179.645</f>
        <v>179.64500000000001</v>
      </c>
      <c r="T168"/>
      <c r="U168"/>
      <c r="V168"/>
    </row>
    <row r="169" spans="1:23" ht="56.45" customHeight="1">
      <c r="A169" s="56"/>
      <c r="B169" s="52">
        <v>1035</v>
      </c>
      <c r="C169" s="35" t="s">
        <v>185</v>
      </c>
      <c r="D169" s="46" t="s">
        <v>10</v>
      </c>
      <c r="E169" s="225" t="s">
        <v>167</v>
      </c>
      <c r="F169" s="226"/>
      <c r="G169" s="59">
        <f>G13*2432.76</f>
        <v>2432.7600000000002</v>
      </c>
      <c r="H169" s="59">
        <f>G13*243.276</f>
        <v>243.27600000000001</v>
      </c>
      <c r="T169"/>
      <c r="U169"/>
      <c r="V169"/>
    </row>
    <row r="170" spans="1:23" ht="21.6" customHeight="1">
      <c r="A170" s="56"/>
      <c r="B170" s="52">
        <v>1036</v>
      </c>
      <c r="C170" s="35" t="s">
        <v>133</v>
      </c>
      <c r="D170" s="46" t="s">
        <v>10</v>
      </c>
      <c r="E170" s="225" t="s">
        <v>177</v>
      </c>
      <c r="F170" s="226"/>
      <c r="G170" s="59">
        <f>G13*896.04</f>
        <v>896.04</v>
      </c>
      <c r="H170" s="59">
        <f>G13*0</f>
        <v>0</v>
      </c>
      <c r="T170"/>
      <c r="U170"/>
      <c r="V170"/>
    </row>
    <row r="171" spans="1:23" ht="25.15" customHeight="1">
      <c r="A171" s="56"/>
      <c r="B171" s="52">
        <v>1037</v>
      </c>
      <c r="C171" s="35" t="s">
        <v>140</v>
      </c>
      <c r="D171" s="46" t="s">
        <v>138</v>
      </c>
      <c r="E171" s="225" t="s">
        <v>139</v>
      </c>
      <c r="F171" s="226"/>
      <c r="G171" s="59">
        <f>G13*733.4</f>
        <v>733.4</v>
      </c>
      <c r="H171" s="59">
        <f>G13*0</f>
        <v>0</v>
      </c>
      <c r="T171"/>
      <c r="U171"/>
      <c r="V171"/>
    </row>
    <row r="172" spans="1:23" ht="53.45" customHeight="1">
      <c r="A172" s="56"/>
      <c r="B172" s="52">
        <v>1038</v>
      </c>
      <c r="C172" s="35" t="s">
        <v>430</v>
      </c>
      <c r="D172" s="46" t="s">
        <v>10</v>
      </c>
      <c r="E172" s="225" t="s">
        <v>360</v>
      </c>
      <c r="F172" s="226"/>
      <c r="G172" s="59">
        <f>G13*2432.76</f>
        <v>2432.7600000000002</v>
      </c>
      <c r="H172" s="59">
        <f>G13*243.276</f>
        <v>243.27600000000001</v>
      </c>
      <c r="T172"/>
      <c r="U172"/>
      <c r="V172"/>
    </row>
    <row r="173" spans="1:23" ht="72" customHeight="1">
      <c r="A173" s="56"/>
      <c r="B173" s="52">
        <v>1039</v>
      </c>
      <c r="C173" s="35" t="s">
        <v>141</v>
      </c>
      <c r="D173" s="46" t="s">
        <v>10</v>
      </c>
      <c r="E173" s="225" t="s">
        <v>361</v>
      </c>
      <c r="F173" s="226"/>
      <c r="G173" s="59">
        <f>G13*10602.57</f>
        <v>10602.57</v>
      </c>
      <c r="H173" s="59">
        <f>G13*1060.257</f>
        <v>1060.2570000000001</v>
      </c>
      <c r="T173"/>
      <c r="U173"/>
      <c r="V173"/>
    </row>
    <row r="174" spans="1:23" ht="107.45" customHeight="1">
      <c r="A174" s="56"/>
      <c r="B174" s="52">
        <v>1040</v>
      </c>
      <c r="C174" s="35" t="s">
        <v>186</v>
      </c>
      <c r="D174" s="46" t="s">
        <v>10</v>
      </c>
      <c r="E174" s="225" t="s">
        <v>362</v>
      </c>
      <c r="F174" s="226"/>
      <c r="G174" s="59">
        <f>G13*8483.5</f>
        <v>8483.5</v>
      </c>
      <c r="H174" s="59">
        <f>G13*848.35</f>
        <v>848.35</v>
      </c>
      <c r="T174"/>
      <c r="U174"/>
      <c r="V174"/>
    </row>
    <row r="175" spans="1:23" ht="105" customHeight="1">
      <c r="A175" s="56"/>
      <c r="B175" s="52">
        <v>1041</v>
      </c>
      <c r="C175" s="35" t="s">
        <v>187</v>
      </c>
      <c r="D175" s="46" t="s">
        <v>10</v>
      </c>
      <c r="E175" s="225" t="s">
        <v>363</v>
      </c>
      <c r="F175" s="226"/>
      <c r="G175" s="59">
        <f>G13*6285.2</f>
        <v>6285.2</v>
      </c>
      <c r="H175" s="59">
        <f>G13*628.52</f>
        <v>628.52</v>
      </c>
      <c r="T175"/>
      <c r="U175"/>
      <c r="V175"/>
    </row>
    <row r="176" spans="1:23" ht="41.45" customHeight="1">
      <c r="A176" s="56"/>
      <c r="B176" s="52">
        <v>1042</v>
      </c>
      <c r="C176" s="35" t="s">
        <v>136</v>
      </c>
      <c r="D176" s="46" t="s">
        <v>10</v>
      </c>
      <c r="E176" s="225" t="s">
        <v>168</v>
      </c>
      <c r="F176" s="226"/>
      <c r="G176" s="59">
        <f>G13*2023.12</f>
        <v>2023.12</v>
      </c>
      <c r="H176" s="59">
        <f>G13*202.312</f>
        <v>202.31200000000001</v>
      </c>
      <c r="T176"/>
      <c r="U176"/>
      <c r="V176"/>
    </row>
    <row r="177" spans="1:23" ht="46.15" customHeight="1">
      <c r="A177" s="56"/>
      <c r="B177" s="52">
        <v>1043</v>
      </c>
      <c r="C177" s="35" t="s">
        <v>130</v>
      </c>
      <c r="D177" s="46" t="s">
        <v>131</v>
      </c>
      <c r="E177" s="225" t="s">
        <v>364</v>
      </c>
      <c r="F177" s="226"/>
      <c r="G177" s="59">
        <f>G13*285760</f>
        <v>285760</v>
      </c>
      <c r="H177" s="59">
        <f>G13*38000</f>
        <v>38000</v>
      </c>
      <c r="T177"/>
      <c r="U177"/>
      <c r="V177"/>
    </row>
    <row r="178" spans="1:23" ht="88.15" customHeight="1">
      <c r="A178" s="56"/>
      <c r="B178" s="52">
        <v>1044</v>
      </c>
      <c r="C178" s="35" t="s">
        <v>188</v>
      </c>
      <c r="D178" s="46" t="s">
        <v>45</v>
      </c>
      <c r="E178" s="225" t="s">
        <v>365</v>
      </c>
      <c r="F178" s="226"/>
      <c r="G178" s="59">
        <f>G13*171.95</f>
        <v>171.95</v>
      </c>
      <c r="H178" s="59">
        <f>G13*17.195</f>
        <v>17.195</v>
      </c>
      <c r="T178"/>
      <c r="U178"/>
      <c r="V178"/>
    </row>
    <row r="179" spans="1:23" ht="18.600000000000001" customHeight="1">
      <c r="A179" s="56"/>
      <c r="B179" s="52">
        <v>1045</v>
      </c>
      <c r="C179" s="35" t="s">
        <v>315</v>
      </c>
      <c r="D179" s="46" t="s">
        <v>10</v>
      </c>
      <c r="E179" s="225" t="s">
        <v>137</v>
      </c>
      <c r="F179" s="226"/>
      <c r="G179" s="59">
        <f>G13*1235.19</f>
        <v>1235.19</v>
      </c>
      <c r="H179" s="59">
        <f>G13*123.519</f>
        <v>123.51900000000001</v>
      </c>
      <c r="T179"/>
      <c r="U179"/>
      <c r="V179"/>
    </row>
    <row r="180" spans="1:23" ht="51.6" customHeight="1">
      <c r="A180" s="56"/>
      <c r="B180" s="52">
        <v>1046</v>
      </c>
      <c r="C180" s="35" t="s">
        <v>189</v>
      </c>
      <c r="D180" s="46" t="s">
        <v>129</v>
      </c>
      <c r="E180" s="225" t="s">
        <v>169</v>
      </c>
      <c r="F180" s="226"/>
      <c r="G180" s="59">
        <f>G13*68020</f>
        <v>68020</v>
      </c>
      <c r="H180" s="59">
        <f>G13*0</f>
        <v>0</v>
      </c>
      <c r="T180"/>
      <c r="U180"/>
      <c r="V180"/>
    </row>
    <row r="181" spans="1:23" ht="64.900000000000006" customHeight="1">
      <c r="A181" s="56"/>
      <c r="B181" s="52">
        <v>1047</v>
      </c>
      <c r="C181" s="35" t="s">
        <v>190</v>
      </c>
      <c r="D181" s="46" t="s">
        <v>129</v>
      </c>
      <c r="E181" s="225" t="s">
        <v>170</v>
      </c>
      <c r="F181" s="226"/>
      <c r="G181" s="59">
        <f>G13*92292.5</f>
        <v>92292.5</v>
      </c>
      <c r="H181" s="59">
        <f>G13*0</f>
        <v>0</v>
      </c>
      <c r="T181"/>
      <c r="U181"/>
      <c r="V181"/>
    </row>
    <row r="182" spans="1:23" ht="55.9" customHeight="1">
      <c r="A182" s="56"/>
      <c r="B182" s="52">
        <v>1048</v>
      </c>
      <c r="C182" s="35" t="s">
        <v>191</v>
      </c>
      <c r="D182" s="46" t="s">
        <v>129</v>
      </c>
      <c r="E182" s="225" t="s">
        <v>171</v>
      </c>
      <c r="F182" s="226"/>
      <c r="G182" s="59">
        <f>G13*267368</f>
        <v>267368</v>
      </c>
      <c r="H182" s="59">
        <f>G13*0</f>
        <v>0</v>
      </c>
      <c r="T182"/>
      <c r="U182"/>
      <c r="V182"/>
    </row>
    <row r="183" spans="1:23" ht="170.45" customHeight="1">
      <c r="A183" s="56"/>
      <c r="B183" s="52">
        <v>1049</v>
      </c>
      <c r="C183" s="35" t="s">
        <v>192</v>
      </c>
      <c r="D183" s="46" t="s">
        <v>8</v>
      </c>
      <c r="E183" s="225" t="s">
        <v>367</v>
      </c>
      <c r="F183" s="226"/>
      <c r="G183" s="59">
        <f>G13*3800</f>
        <v>3800</v>
      </c>
      <c r="H183" s="59">
        <f>G13*380</f>
        <v>380</v>
      </c>
      <c r="T183"/>
      <c r="U183"/>
      <c r="V183"/>
      <c r="W183"/>
    </row>
    <row r="184" spans="1:23" ht="168.6" customHeight="1">
      <c r="A184" s="56"/>
      <c r="B184" s="52">
        <v>1050</v>
      </c>
      <c r="C184" s="35" t="s">
        <v>193</v>
      </c>
      <c r="D184" s="46" t="s">
        <v>8</v>
      </c>
      <c r="E184" s="225" t="s">
        <v>366</v>
      </c>
      <c r="F184" s="226"/>
      <c r="G184" s="59">
        <f>G13*1900</f>
        <v>1900</v>
      </c>
      <c r="H184" s="59">
        <f>G13*190</f>
        <v>190</v>
      </c>
      <c r="T184"/>
      <c r="U184"/>
      <c r="V184"/>
      <c r="W184"/>
    </row>
    <row r="185" spans="1:23" ht="32.450000000000003" customHeight="1">
      <c r="A185" s="56"/>
      <c r="B185" s="52">
        <v>1051</v>
      </c>
      <c r="C185" s="35" t="s">
        <v>134</v>
      </c>
      <c r="D185" s="46" t="s">
        <v>45</v>
      </c>
      <c r="E185" s="225" t="s">
        <v>172</v>
      </c>
      <c r="F185" s="226"/>
      <c r="G185" s="59">
        <f>G13*471.295</f>
        <v>471.29500000000002</v>
      </c>
      <c r="H185" s="59">
        <f>G13*47.1295</f>
        <v>47.1295</v>
      </c>
      <c r="T185"/>
      <c r="U185"/>
      <c r="V185"/>
      <c r="W185"/>
    </row>
    <row r="186" spans="1:23" ht="76.900000000000006" customHeight="1">
      <c r="A186" s="56"/>
      <c r="B186" s="52">
        <v>1052</v>
      </c>
      <c r="C186" s="35" t="s">
        <v>194</v>
      </c>
      <c r="D186" s="46" t="s">
        <v>128</v>
      </c>
      <c r="E186" s="225" t="s">
        <v>368</v>
      </c>
      <c r="F186" s="226"/>
      <c r="G186" s="59">
        <f>G13*4759.5</f>
        <v>4759.5</v>
      </c>
      <c r="H186" s="59">
        <f>G13*476.14</f>
        <v>476.14</v>
      </c>
      <c r="T186"/>
      <c r="U186"/>
      <c r="V186"/>
      <c r="W186"/>
    </row>
    <row r="187" spans="1:23" ht="67.150000000000006" customHeight="1">
      <c r="A187" s="56"/>
      <c r="B187" s="52">
        <v>1053</v>
      </c>
      <c r="C187" s="35" t="s">
        <v>195</v>
      </c>
      <c r="D187" s="46" t="s">
        <v>10</v>
      </c>
      <c r="E187" s="225" t="s">
        <v>173</v>
      </c>
      <c r="F187" s="226"/>
      <c r="G187" s="59">
        <f>G13*570</f>
        <v>570</v>
      </c>
      <c r="H187" s="59">
        <f>G13*0</f>
        <v>0</v>
      </c>
      <c r="T187"/>
      <c r="U187"/>
      <c r="V187"/>
      <c r="W187"/>
    </row>
    <row r="188" spans="1:23" ht="30" customHeight="1">
      <c r="A188" s="56"/>
      <c r="B188" s="52">
        <v>1054</v>
      </c>
      <c r="C188" s="35" t="s">
        <v>135</v>
      </c>
      <c r="D188" s="46" t="s">
        <v>10</v>
      </c>
      <c r="E188" s="225" t="s">
        <v>174</v>
      </c>
      <c r="F188" s="226"/>
      <c r="G188" s="59">
        <f>G13*146.3</f>
        <v>146.30000000000001</v>
      </c>
      <c r="H188" s="59">
        <f>G13*14.63</f>
        <v>14.63</v>
      </c>
      <c r="T188"/>
      <c r="U188"/>
      <c r="V188"/>
      <c r="W188"/>
    </row>
    <row r="189" spans="1:23" ht="60" customHeight="1">
      <c r="A189" s="56"/>
      <c r="B189" s="52">
        <v>1055</v>
      </c>
      <c r="C189" s="35" t="s">
        <v>180</v>
      </c>
      <c r="D189" s="46" t="s">
        <v>45</v>
      </c>
      <c r="E189" s="225" t="s">
        <v>369</v>
      </c>
      <c r="F189" s="226"/>
      <c r="G189" s="59">
        <f>G13*98.8452380952381</f>
        <v>98.845238095238102</v>
      </c>
      <c r="H189" s="59">
        <f>G13*9.88452380952381</f>
        <v>9.8845238095238095</v>
      </c>
      <c r="T189"/>
      <c r="U189"/>
      <c r="V189"/>
      <c r="W189"/>
    </row>
    <row r="190" spans="1:23" ht="55.15" customHeight="1">
      <c r="A190" s="56"/>
      <c r="B190" s="52">
        <v>1056</v>
      </c>
      <c r="C190" s="35" t="s">
        <v>196</v>
      </c>
      <c r="D190" s="46" t="s">
        <v>19</v>
      </c>
      <c r="E190" s="225" t="s">
        <v>370</v>
      </c>
      <c r="F190" s="226"/>
      <c r="G190" s="59">
        <f>G13*86.6685</f>
        <v>86.668499999999995</v>
      </c>
      <c r="H190" s="59">
        <f>G13*8.66685</f>
        <v>8.6668500000000002</v>
      </c>
      <c r="T190"/>
      <c r="U190"/>
      <c r="V190"/>
      <c r="W190"/>
    </row>
    <row r="191" spans="1:23" ht="46.9" customHeight="1">
      <c r="A191" s="56"/>
      <c r="B191" s="52">
        <v>1057</v>
      </c>
      <c r="C191" s="35" t="s">
        <v>197</v>
      </c>
      <c r="D191" s="46" t="s">
        <v>19</v>
      </c>
      <c r="E191" s="225" t="s">
        <v>371</v>
      </c>
      <c r="F191" s="226"/>
      <c r="G191" s="59">
        <f>G13*62.2725</f>
        <v>62.272500000000001</v>
      </c>
      <c r="H191" s="59">
        <f>G13*6.22725</f>
        <v>6.2272499999999997</v>
      </c>
      <c r="T191"/>
      <c r="U191"/>
      <c r="V191"/>
      <c r="W191"/>
    </row>
    <row r="192" spans="1:23" ht="160.15" customHeight="1">
      <c r="A192" s="56"/>
      <c r="B192" s="52">
        <v>1058</v>
      </c>
      <c r="C192" s="35" t="s">
        <v>125</v>
      </c>
      <c r="D192" s="46" t="s">
        <v>47</v>
      </c>
      <c r="E192" s="225" t="s">
        <v>372</v>
      </c>
      <c r="F192" s="226"/>
      <c r="G192" s="59">
        <f>G13*65208.95</f>
        <v>65208.95</v>
      </c>
      <c r="H192" s="59">
        <f>G13*6520.895</f>
        <v>6520.8950000000004</v>
      </c>
      <c r="T192"/>
      <c r="U192"/>
      <c r="V192"/>
      <c r="W192"/>
    </row>
    <row r="193" spans="1:23" ht="30" customHeight="1">
      <c r="A193" s="56"/>
      <c r="B193" s="52">
        <v>1059</v>
      </c>
      <c r="C193" s="35" t="s">
        <v>198</v>
      </c>
      <c r="D193" s="46" t="s">
        <v>10</v>
      </c>
      <c r="E193" s="225" t="s">
        <v>163</v>
      </c>
      <c r="F193" s="226"/>
      <c r="G193" s="59">
        <f>G13*462.935</f>
        <v>462.935</v>
      </c>
      <c r="H193" s="59">
        <f>G13*46.2935</f>
        <v>46.293500000000002</v>
      </c>
      <c r="T193"/>
      <c r="U193"/>
      <c r="V193"/>
      <c r="W193"/>
    </row>
    <row r="194" spans="1:23" ht="41.45" customHeight="1">
      <c r="A194" s="56"/>
      <c r="B194" s="52">
        <v>1060</v>
      </c>
      <c r="C194" s="35" t="s">
        <v>199</v>
      </c>
      <c r="D194" s="46" t="s">
        <v>10</v>
      </c>
      <c r="E194" s="225" t="s">
        <v>164</v>
      </c>
      <c r="F194" s="226"/>
      <c r="G194" s="59">
        <f>G13*1034.55</f>
        <v>1034.55</v>
      </c>
      <c r="H194" s="59">
        <f>G13*103.455</f>
        <v>103.455</v>
      </c>
      <c r="T194"/>
      <c r="U194"/>
      <c r="V194"/>
      <c r="W194"/>
    </row>
    <row r="195" spans="1:23" ht="18.600000000000001" customHeight="1">
      <c r="A195" s="56"/>
      <c r="B195" s="52">
        <v>1063</v>
      </c>
      <c r="C195" s="35" t="s">
        <v>203</v>
      </c>
      <c r="D195" s="46" t="s">
        <v>40</v>
      </c>
      <c r="E195" s="225" t="s">
        <v>179</v>
      </c>
      <c r="F195" s="226"/>
      <c r="G195" s="59">
        <f>G13*837.9</f>
        <v>837.9</v>
      </c>
      <c r="H195" s="59">
        <f>G13*0</f>
        <v>0</v>
      </c>
      <c r="T195"/>
      <c r="U195"/>
      <c r="V195"/>
      <c r="W195"/>
    </row>
    <row r="196" spans="1:23" ht="90" customHeight="1">
      <c r="A196" s="56"/>
      <c r="B196" s="52">
        <v>1064</v>
      </c>
      <c r="C196" s="35" t="s">
        <v>207</v>
      </c>
      <c r="D196" s="46" t="s">
        <v>19</v>
      </c>
      <c r="E196" s="225" t="s">
        <v>373</v>
      </c>
      <c r="F196" s="233"/>
      <c r="G196" s="59">
        <f>G13*63.65</f>
        <v>63.65</v>
      </c>
      <c r="H196" s="59">
        <f>G13*6.365</f>
        <v>6.3650000000000002</v>
      </c>
      <c r="T196"/>
      <c r="U196"/>
      <c r="V196"/>
      <c r="W196"/>
    </row>
    <row r="197" spans="1:23" ht="98.45" customHeight="1">
      <c r="A197" s="56"/>
      <c r="B197" s="52">
        <v>1065</v>
      </c>
      <c r="C197" s="35" t="s">
        <v>329</v>
      </c>
      <c r="D197" s="46" t="s">
        <v>19</v>
      </c>
      <c r="E197" s="225" t="s">
        <v>374</v>
      </c>
      <c r="F197" s="233"/>
      <c r="G197" s="59">
        <f>G13*131.1</f>
        <v>131.1</v>
      </c>
      <c r="H197" s="59">
        <f>G13*13.11</f>
        <v>13.11</v>
      </c>
      <c r="T197"/>
      <c r="U197"/>
      <c r="V197"/>
      <c r="W197"/>
    </row>
    <row r="198" spans="1:23" ht="87.6" customHeight="1">
      <c r="A198" s="56"/>
      <c r="B198" s="52">
        <v>1066</v>
      </c>
      <c r="C198" s="35" t="s">
        <v>200</v>
      </c>
      <c r="D198" s="46" t="s">
        <v>19</v>
      </c>
      <c r="E198" s="225" t="s">
        <v>375</v>
      </c>
      <c r="F198" s="233"/>
      <c r="G198" s="59">
        <f>G13*155.8</f>
        <v>155.80000000000001</v>
      </c>
      <c r="H198" s="59">
        <f>G13*15.58</f>
        <v>15.58</v>
      </c>
      <c r="T198"/>
      <c r="U198"/>
      <c r="V198"/>
      <c r="W198"/>
    </row>
    <row r="199" spans="1:23" ht="84" customHeight="1">
      <c r="A199" s="56"/>
      <c r="B199" s="52">
        <v>1067</v>
      </c>
      <c r="C199" s="35" t="s">
        <v>201</v>
      </c>
      <c r="D199" s="46" t="s">
        <v>19</v>
      </c>
      <c r="E199" s="225" t="s">
        <v>376</v>
      </c>
      <c r="F199" s="233"/>
      <c r="G199" s="59">
        <f>G13*119.7</f>
        <v>119.7</v>
      </c>
      <c r="H199" s="59">
        <f>G13*11.97</f>
        <v>11.97</v>
      </c>
      <c r="T199"/>
      <c r="U199"/>
      <c r="V199"/>
      <c r="W199"/>
    </row>
    <row r="200" spans="1:23" ht="110.45" customHeight="1">
      <c r="A200" s="56"/>
      <c r="B200" s="52">
        <v>1068</v>
      </c>
      <c r="C200" s="35" t="s">
        <v>202</v>
      </c>
      <c r="D200" s="46" t="s">
        <v>19</v>
      </c>
      <c r="E200" s="240" t="s">
        <v>377</v>
      </c>
      <c r="F200" s="241"/>
      <c r="G200" s="59">
        <f>G13*143.45</f>
        <v>143.44999999999999</v>
      </c>
      <c r="H200" s="59">
        <f>G13*14.345</f>
        <v>14.345000000000001</v>
      </c>
      <c r="T200"/>
      <c r="U200"/>
      <c r="V200"/>
      <c r="W200"/>
    </row>
    <row r="201" spans="1:23" ht="66.599999999999994" customHeight="1">
      <c r="A201" s="56"/>
      <c r="B201" s="52">
        <v>1069</v>
      </c>
      <c r="C201" s="60" t="s">
        <v>330</v>
      </c>
      <c r="D201" s="46" t="s">
        <v>45</v>
      </c>
      <c r="E201" s="391" t="s">
        <v>378</v>
      </c>
      <c r="F201" s="392"/>
      <c r="G201" s="59">
        <f>G13*68.4</f>
        <v>68.400000000000006</v>
      </c>
      <c r="H201" s="59">
        <f>G13*6.84</f>
        <v>6.84</v>
      </c>
      <c r="T201"/>
      <c r="U201"/>
      <c r="V201"/>
      <c r="W201"/>
    </row>
    <row r="202" spans="1:23" ht="63.6" customHeight="1">
      <c r="A202" s="56"/>
      <c r="B202" s="52">
        <v>1070</v>
      </c>
      <c r="C202" s="60" t="s">
        <v>117</v>
      </c>
      <c r="D202" s="46" t="s">
        <v>45</v>
      </c>
      <c r="E202" s="391" t="s">
        <v>379</v>
      </c>
      <c r="F202" s="392"/>
      <c r="G202" s="59">
        <f>G13*94.05</f>
        <v>94.05</v>
      </c>
      <c r="H202" s="59">
        <f>G13*9.405</f>
        <v>9.4049999999999994</v>
      </c>
      <c r="T202"/>
      <c r="U202"/>
      <c r="V202"/>
      <c r="W202"/>
    </row>
    <row r="203" spans="1:23" ht="38.450000000000003" customHeight="1">
      <c r="A203" s="56"/>
      <c r="B203" s="52">
        <v>1071</v>
      </c>
      <c r="C203" s="60" t="s">
        <v>208</v>
      </c>
      <c r="D203" s="34" t="s">
        <v>10</v>
      </c>
      <c r="E203" s="236" t="s">
        <v>381</v>
      </c>
      <c r="F203" s="237"/>
      <c r="G203" s="59">
        <f>G13*177.65</f>
        <v>177.65</v>
      </c>
      <c r="H203" s="59">
        <f>G13*17.765</f>
        <v>17.765000000000001</v>
      </c>
      <c r="T203"/>
      <c r="U203"/>
      <c r="V203"/>
      <c r="W203"/>
    </row>
    <row r="204" spans="1:23" ht="52.9" customHeight="1">
      <c r="A204" s="56"/>
      <c r="B204" s="52">
        <v>1072</v>
      </c>
      <c r="C204" s="60" t="s">
        <v>383</v>
      </c>
      <c r="D204" s="34" t="s">
        <v>45</v>
      </c>
      <c r="E204" s="238" t="s">
        <v>165</v>
      </c>
      <c r="F204" s="239"/>
      <c r="G204" s="59">
        <f>G13*687.61</f>
        <v>687.61</v>
      </c>
      <c r="H204" s="59">
        <f>G13*68.761</f>
        <v>68.760999999999996</v>
      </c>
      <c r="T204"/>
      <c r="U204"/>
      <c r="V204"/>
    </row>
    <row r="205" spans="1:23" ht="15.75" customHeight="1">
      <c r="A205" s="20" t="s">
        <v>112</v>
      </c>
      <c r="B205" s="377" t="s">
        <v>422</v>
      </c>
      <c r="C205" s="377"/>
      <c r="D205" s="377"/>
      <c r="E205" s="11"/>
      <c r="F205" s="12"/>
      <c r="G205" s="13"/>
      <c r="H205" s="14"/>
      <c r="T205"/>
      <c r="U205"/>
      <c r="V205"/>
    </row>
    <row r="206" spans="1:23" ht="15.75" customHeight="1">
      <c r="A206" s="10"/>
      <c r="B206" s="37"/>
      <c r="C206" s="48"/>
      <c r="D206" s="15"/>
      <c r="E206" s="12"/>
      <c r="F206" s="12"/>
      <c r="G206" s="13"/>
      <c r="H206" s="14"/>
      <c r="T206"/>
      <c r="U206"/>
      <c r="V206"/>
    </row>
    <row r="207" spans="1:23" ht="27" customHeight="1">
      <c r="A207" s="10"/>
      <c r="B207" s="38">
        <v>1</v>
      </c>
      <c r="C207" s="378" t="s">
        <v>23</v>
      </c>
      <c r="D207" s="379"/>
      <c r="E207" s="379"/>
      <c r="F207" s="379"/>
      <c r="G207" s="379"/>
      <c r="H207" s="380"/>
      <c r="T207"/>
      <c r="U207"/>
      <c r="V207"/>
    </row>
    <row r="208" spans="1:23" ht="77.25" customHeight="1">
      <c r="A208" s="10"/>
      <c r="B208" s="39">
        <v>2</v>
      </c>
      <c r="C208" s="381" t="s">
        <v>105</v>
      </c>
      <c r="D208" s="382"/>
      <c r="E208" s="382"/>
      <c r="F208" s="382"/>
      <c r="G208" s="382"/>
      <c r="H208" s="383"/>
      <c r="T208"/>
      <c r="U208"/>
      <c r="V208"/>
    </row>
    <row r="209" spans="1:22" ht="29.25" customHeight="1">
      <c r="A209" s="10"/>
      <c r="B209" s="38">
        <v>3</v>
      </c>
      <c r="C209" s="378" t="s">
        <v>24</v>
      </c>
      <c r="D209" s="379"/>
      <c r="E209" s="379"/>
      <c r="F209" s="379"/>
      <c r="G209" s="379"/>
      <c r="H209" s="380"/>
      <c r="T209"/>
      <c r="U209"/>
    </row>
    <row r="210" spans="1:22" ht="45" customHeight="1">
      <c r="A210" s="10"/>
      <c r="B210" s="39">
        <v>4</v>
      </c>
      <c r="C210" s="384" t="s">
        <v>106</v>
      </c>
      <c r="D210" s="384"/>
      <c r="E210" s="384"/>
      <c r="F210" s="384"/>
      <c r="G210" s="384"/>
      <c r="H210" s="384"/>
      <c r="T210"/>
      <c r="U210"/>
    </row>
    <row r="211" spans="1:22" ht="66" customHeight="1">
      <c r="A211" s="10"/>
      <c r="B211" s="38">
        <v>5</v>
      </c>
      <c r="C211" s="385" t="s">
        <v>36</v>
      </c>
      <c r="D211" s="385"/>
      <c r="E211" s="385"/>
      <c r="F211" s="385"/>
      <c r="G211" s="385"/>
      <c r="H211" s="385"/>
      <c r="T211"/>
      <c r="U211"/>
    </row>
    <row r="212" spans="1:22" ht="39.75" customHeight="1">
      <c r="A212" s="10"/>
      <c r="B212" s="39">
        <v>6</v>
      </c>
      <c r="C212" s="370" t="s">
        <v>81</v>
      </c>
      <c r="D212" s="370"/>
      <c r="E212" s="370"/>
      <c r="F212" s="370"/>
      <c r="G212" s="370"/>
      <c r="H212" s="370"/>
      <c r="T212"/>
      <c r="U212"/>
    </row>
    <row r="213" spans="1:22" ht="30" customHeight="1">
      <c r="A213" s="10"/>
      <c r="B213" s="40">
        <v>7</v>
      </c>
      <c r="C213" s="371" t="s">
        <v>107</v>
      </c>
      <c r="D213" s="371"/>
      <c r="E213" s="371"/>
      <c r="F213" s="371"/>
      <c r="G213" s="371"/>
      <c r="H213" s="371"/>
      <c r="T213"/>
      <c r="U213"/>
    </row>
    <row r="214" spans="1:22" ht="24" customHeight="1">
      <c r="A214" s="10"/>
      <c r="B214" s="41">
        <v>8</v>
      </c>
      <c r="C214" s="372" t="s">
        <v>25</v>
      </c>
      <c r="D214" s="373"/>
      <c r="E214" s="373"/>
      <c r="F214" s="373"/>
      <c r="G214" s="373"/>
      <c r="H214" s="374"/>
      <c r="T214"/>
      <c r="U214"/>
    </row>
    <row r="215" spans="1:22" ht="20.25" customHeight="1">
      <c r="A215" s="10"/>
      <c r="B215" s="42">
        <v>9</v>
      </c>
      <c r="C215" s="398" t="s">
        <v>111</v>
      </c>
      <c r="D215" s="398"/>
      <c r="E215" s="398"/>
      <c r="F215" s="398"/>
      <c r="G215" s="398"/>
      <c r="H215" s="398"/>
      <c r="T215"/>
      <c r="U215"/>
    </row>
    <row r="216" spans="1:22" ht="30" customHeight="1">
      <c r="A216" s="10"/>
      <c r="B216" s="41">
        <v>10</v>
      </c>
      <c r="C216" s="375" t="s">
        <v>108</v>
      </c>
      <c r="D216" s="376"/>
      <c r="E216" s="376"/>
      <c r="F216" s="376"/>
      <c r="G216" s="376"/>
      <c r="H216" s="376"/>
      <c r="T216"/>
      <c r="U216"/>
    </row>
    <row r="217" spans="1:22" ht="36.75" customHeight="1">
      <c r="A217" s="10"/>
      <c r="B217" s="354">
        <v>11</v>
      </c>
      <c r="C217" s="356" t="s">
        <v>49</v>
      </c>
      <c r="D217" s="357"/>
      <c r="E217" s="357"/>
      <c r="F217" s="357"/>
      <c r="G217" s="357"/>
      <c r="H217" s="358"/>
      <c r="T217"/>
      <c r="U217"/>
    </row>
    <row r="218" spans="1:22" ht="12" customHeight="1">
      <c r="A218" s="10"/>
      <c r="B218" s="355"/>
      <c r="C218" s="49" t="s">
        <v>38</v>
      </c>
      <c r="D218" s="16"/>
      <c r="E218" s="16"/>
      <c r="F218" s="16"/>
      <c r="G218" s="16"/>
      <c r="H218" s="17"/>
      <c r="T218"/>
      <c r="U218"/>
    </row>
    <row r="219" spans="1:22">
      <c r="A219" s="10"/>
      <c r="B219" s="355"/>
      <c r="C219" s="359" t="s">
        <v>113</v>
      </c>
      <c r="D219" s="360"/>
      <c r="E219" s="360"/>
      <c r="F219" s="360"/>
      <c r="G219" s="360"/>
      <c r="H219" s="361"/>
      <c r="T219"/>
      <c r="U219"/>
    </row>
    <row r="220" spans="1:22">
      <c r="A220" s="10"/>
      <c r="B220" s="355"/>
      <c r="C220" s="359" t="s">
        <v>114</v>
      </c>
      <c r="D220" s="360"/>
      <c r="E220" s="360"/>
      <c r="F220" s="360"/>
      <c r="G220" s="360"/>
      <c r="H220" s="361"/>
      <c r="T220"/>
      <c r="U220"/>
    </row>
    <row r="221" spans="1:22">
      <c r="A221" s="18"/>
      <c r="B221" s="355"/>
      <c r="C221" s="359" t="s">
        <v>115</v>
      </c>
      <c r="D221" s="360"/>
      <c r="E221" s="360"/>
      <c r="F221" s="360"/>
      <c r="G221" s="360"/>
      <c r="H221" s="361"/>
      <c r="T221"/>
      <c r="U221"/>
    </row>
    <row r="222" spans="1:22">
      <c r="A222" s="18"/>
      <c r="B222" s="355"/>
      <c r="C222" s="362" t="s">
        <v>116</v>
      </c>
      <c r="D222" s="363"/>
      <c r="E222" s="363"/>
      <c r="F222" s="363"/>
      <c r="G222" s="363"/>
      <c r="H222" s="364"/>
      <c r="T222"/>
      <c r="U222"/>
    </row>
    <row r="223" spans="1:22" ht="100.15" customHeight="1">
      <c r="B223" s="57">
        <v>12</v>
      </c>
      <c r="C223" s="224" t="s">
        <v>178</v>
      </c>
      <c r="D223" s="224"/>
      <c r="E223" s="224"/>
      <c r="F223" s="224"/>
      <c r="G223" s="224"/>
      <c r="H223" s="224"/>
      <c r="T223"/>
      <c r="U223"/>
      <c r="V223"/>
    </row>
    <row r="224" spans="1:22" ht="51" customHeight="1">
      <c r="B224" s="57">
        <v>13</v>
      </c>
      <c r="C224" s="224" t="s">
        <v>204</v>
      </c>
      <c r="D224" s="224"/>
      <c r="E224" s="224"/>
      <c r="F224" s="224"/>
      <c r="G224" s="224"/>
      <c r="H224" s="224"/>
      <c r="T224"/>
      <c r="U224"/>
      <c r="V224"/>
    </row>
    <row r="225" spans="2:22" ht="52.9" customHeight="1">
      <c r="B225" s="57">
        <v>14</v>
      </c>
      <c r="C225" s="221" t="s">
        <v>206</v>
      </c>
      <c r="D225" s="222"/>
      <c r="E225" s="222"/>
      <c r="F225" s="222"/>
      <c r="G225" s="222"/>
      <c r="H225" s="223"/>
      <c r="T225"/>
      <c r="U225"/>
      <c r="V225"/>
    </row>
    <row r="226" spans="2:22" ht="27" customHeight="1">
      <c r="B226" s="57">
        <v>15</v>
      </c>
      <c r="C226" s="224" t="s">
        <v>126</v>
      </c>
      <c r="D226" s="224"/>
      <c r="E226" s="224"/>
      <c r="F226" s="224"/>
      <c r="G226" s="224"/>
      <c r="H226" s="224"/>
      <c r="T226"/>
      <c r="U226"/>
      <c r="V226"/>
    </row>
    <row r="227" spans="2:22" ht="43.15" customHeight="1">
      <c r="B227" s="57">
        <v>16</v>
      </c>
      <c r="C227" s="244" t="s">
        <v>205</v>
      </c>
      <c r="D227" s="244"/>
      <c r="E227" s="244"/>
      <c r="F227" s="244"/>
      <c r="G227" s="244"/>
      <c r="H227" s="244"/>
      <c r="T227"/>
      <c r="U227"/>
      <c r="V227"/>
    </row>
    <row r="228" spans="2:22">
      <c r="B228" s="208">
        <v>17</v>
      </c>
      <c r="C228" s="206" t="s">
        <v>382</v>
      </c>
      <c r="D228" s="206"/>
      <c r="E228" s="206"/>
      <c r="F228" s="206"/>
      <c r="G228" s="206"/>
      <c r="H228" s="206"/>
      <c r="T228"/>
      <c r="U228"/>
      <c r="V228"/>
    </row>
    <row r="229" spans="2:22">
      <c r="B229" s="209"/>
      <c r="C229" s="207"/>
      <c r="D229" s="207"/>
      <c r="E229" s="207"/>
      <c r="F229" s="207"/>
      <c r="G229" s="207"/>
      <c r="H229" s="207"/>
      <c r="T229"/>
      <c r="U229"/>
      <c r="V229"/>
    </row>
    <row r="230" spans="2:22">
      <c r="T230"/>
      <c r="U230"/>
      <c r="V230"/>
    </row>
    <row r="231" spans="2:22">
      <c r="T231"/>
      <c r="U231"/>
      <c r="V231"/>
    </row>
    <row r="232" spans="2:22">
      <c r="T232"/>
      <c r="U232"/>
      <c r="V232"/>
    </row>
    <row r="233" spans="2:22">
      <c r="T233"/>
      <c r="U233"/>
      <c r="V233"/>
    </row>
    <row r="234" spans="2:22">
      <c r="T234"/>
      <c r="U234"/>
      <c r="V234"/>
    </row>
    <row r="235" spans="2:22">
      <c r="T235"/>
      <c r="U235"/>
      <c r="V235"/>
    </row>
    <row r="236" spans="2:22">
      <c r="T236"/>
      <c r="U236"/>
      <c r="V236"/>
    </row>
    <row r="237" spans="2:22">
      <c r="T237"/>
      <c r="U237"/>
      <c r="V237"/>
    </row>
    <row r="238" spans="2:22">
      <c r="T238"/>
      <c r="U238"/>
      <c r="V238"/>
    </row>
    <row r="239" spans="2:22">
      <c r="T239"/>
      <c r="U239"/>
      <c r="V239"/>
    </row>
    <row r="240" spans="2:22">
      <c r="T240"/>
      <c r="U240"/>
      <c r="V240"/>
    </row>
  </sheetData>
  <sheetProtection formatCells="0" formatColumns="0" formatRows="0" insertColumns="0" insertRows="0" insertHyperlinks="0" deleteColumns="0" deleteRows="0" sort="0" autoFilter="0" pivotTables="0"/>
  <mergeCells count="210">
    <mergeCell ref="E149:F149"/>
    <mergeCell ref="E151:F151"/>
    <mergeCell ref="E128:F128"/>
    <mergeCell ref="E139:F139"/>
    <mergeCell ref="E129:F129"/>
    <mergeCell ref="E130:F130"/>
    <mergeCell ref="E131:F131"/>
    <mergeCell ref="A103:F104"/>
    <mergeCell ref="C215:H215"/>
    <mergeCell ref="A111:A140"/>
    <mergeCell ref="A108:H108"/>
    <mergeCell ref="E126:F126"/>
    <mergeCell ref="E127:F127"/>
    <mergeCell ref="G104:H104"/>
    <mergeCell ref="G103:H103"/>
    <mergeCell ref="A105:A107"/>
    <mergeCell ref="E105:F105"/>
    <mergeCell ref="E106:F106"/>
    <mergeCell ref="E107:F107"/>
    <mergeCell ref="E188:F188"/>
    <mergeCell ref="E189:F189"/>
    <mergeCell ref="E190:F190"/>
    <mergeCell ref="E191:F191"/>
    <mergeCell ref="E192:F192"/>
    <mergeCell ref="C216:H216"/>
    <mergeCell ref="B205:D205"/>
    <mergeCell ref="C207:H207"/>
    <mergeCell ref="C208:H208"/>
    <mergeCell ref="C209:H209"/>
    <mergeCell ref="C210:H210"/>
    <mergeCell ref="C211:H211"/>
    <mergeCell ref="E132:F132"/>
    <mergeCell ref="E134:F134"/>
    <mergeCell ref="E135:F135"/>
    <mergeCell ref="E136:F136"/>
    <mergeCell ref="E137:F137"/>
    <mergeCell ref="E138:F138"/>
    <mergeCell ref="E140:F140"/>
    <mergeCell ref="E168:F168"/>
    <mergeCell ref="G142:H142"/>
    <mergeCell ref="E198:F198"/>
    <mergeCell ref="E199:F199"/>
    <mergeCell ref="E201:F201"/>
    <mergeCell ref="E202:F202"/>
    <mergeCell ref="E184:F184"/>
    <mergeCell ref="E185:F185"/>
    <mergeCell ref="E187:F187"/>
    <mergeCell ref="E133:F133"/>
    <mergeCell ref="B217:B222"/>
    <mergeCell ref="C217:H217"/>
    <mergeCell ref="C219:H219"/>
    <mergeCell ref="C220:H220"/>
    <mergeCell ref="C221:H221"/>
    <mergeCell ref="C222:H222"/>
    <mergeCell ref="E111:F111"/>
    <mergeCell ref="E112:F112"/>
    <mergeCell ref="E113:F113"/>
    <mergeCell ref="E114:F114"/>
    <mergeCell ref="E115:F115"/>
    <mergeCell ref="E116:F116"/>
    <mergeCell ref="E123:F123"/>
    <mergeCell ref="E124:F124"/>
    <mergeCell ref="E125:F125"/>
    <mergeCell ref="E117:F117"/>
    <mergeCell ref="E118:F118"/>
    <mergeCell ref="C212:H212"/>
    <mergeCell ref="C213:H213"/>
    <mergeCell ref="C214:H214"/>
    <mergeCell ref="E119:F119"/>
    <mergeCell ref="E120:F120"/>
    <mergeCell ref="E121:F121"/>
    <mergeCell ref="E122:F122"/>
    <mergeCell ref="E90:F90"/>
    <mergeCell ref="E91:F91"/>
    <mergeCell ref="E94:F94"/>
    <mergeCell ref="E98:F98"/>
    <mergeCell ref="E99:F99"/>
    <mergeCell ref="E100:F100"/>
    <mergeCell ref="E93:F93"/>
    <mergeCell ref="A102:H102"/>
    <mergeCell ref="E97:F97"/>
    <mergeCell ref="A73:A96"/>
    <mergeCell ref="E95:F95"/>
    <mergeCell ref="E96:F96"/>
    <mergeCell ref="E79:F79"/>
    <mergeCell ref="E73:F73"/>
    <mergeCell ref="E74:F74"/>
    <mergeCell ref="A10:A11"/>
    <mergeCell ref="A15:A56"/>
    <mergeCell ref="B14:F14"/>
    <mergeCell ref="B38:F38"/>
    <mergeCell ref="G39:H39"/>
    <mergeCell ref="B10:B11"/>
    <mergeCell ref="C10:C11"/>
    <mergeCell ref="D10:D11"/>
    <mergeCell ref="E10:E11"/>
    <mergeCell ref="F10:H10"/>
    <mergeCell ref="F11:G11"/>
    <mergeCell ref="B67:B68"/>
    <mergeCell ref="C65:C66"/>
    <mergeCell ref="F6:H6"/>
    <mergeCell ref="B33:F33"/>
    <mergeCell ref="B62:B63"/>
    <mergeCell ref="E34:F34"/>
    <mergeCell ref="E37:F37"/>
    <mergeCell ref="E69:F69"/>
    <mergeCell ref="E88:F88"/>
    <mergeCell ref="C67:C68"/>
    <mergeCell ref="E65:F68"/>
    <mergeCell ref="B58:F58"/>
    <mergeCell ref="E59:F59"/>
    <mergeCell ref="C60:C61"/>
    <mergeCell ref="A70:H70"/>
    <mergeCell ref="A71:F72"/>
    <mergeCell ref="G72:H72"/>
    <mergeCell ref="G71:H71"/>
    <mergeCell ref="E85:F85"/>
    <mergeCell ref="E86:F86"/>
    <mergeCell ref="E75:F75"/>
    <mergeCell ref="E77:F77"/>
    <mergeCell ref="E83:F83"/>
    <mergeCell ref="E84:F84"/>
    <mergeCell ref="E101:F101"/>
    <mergeCell ref="C227:H227"/>
    <mergeCell ref="B3:H3"/>
    <mergeCell ref="A109:F110"/>
    <mergeCell ref="G109:H109"/>
    <mergeCell ref="G110:H110"/>
    <mergeCell ref="A12:E13"/>
    <mergeCell ref="G13:H13"/>
    <mergeCell ref="G12:H12"/>
    <mergeCell ref="G57:H57"/>
    <mergeCell ref="B60:B61"/>
    <mergeCell ref="C62:C63"/>
    <mergeCell ref="A57:F57"/>
    <mergeCell ref="A4:C6"/>
    <mergeCell ref="D4:D6"/>
    <mergeCell ref="E60:F63"/>
    <mergeCell ref="E64:F64"/>
    <mergeCell ref="B65:B66"/>
    <mergeCell ref="A7:B7"/>
    <mergeCell ref="C7:H7"/>
    <mergeCell ref="A8:H9"/>
    <mergeCell ref="G15:H15"/>
    <mergeCell ref="E4:H4"/>
    <mergeCell ref="E5:H5"/>
    <mergeCell ref="E203:F203"/>
    <mergeCell ref="E204:F204"/>
    <mergeCell ref="E196:F196"/>
    <mergeCell ref="E197:F197"/>
    <mergeCell ref="E166:F166"/>
    <mergeCell ref="E170:F170"/>
    <mergeCell ref="E169:F169"/>
    <mergeCell ref="E167:F167"/>
    <mergeCell ref="E160:F160"/>
    <mergeCell ref="E161:F161"/>
    <mergeCell ref="E164:F164"/>
    <mergeCell ref="E163:F163"/>
    <mergeCell ref="E193:F193"/>
    <mergeCell ref="E194:F194"/>
    <mergeCell ref="E200:F200"/>
    <mergeCell ref="E162:F162"/>
    <mergeCell ref="B142:F142"/>
    <mergeCell ref="E78:F78"/>
    <mergeCell ref="E175:F175"/>
    <mergeCell ref="E176:F176"/>
    <mergeCell ref="E177:F177"/>
    <mergeCell ref="E186:F186"/>
    <mergeCell ref="E195:F195"/>
    <mergeCell ref="E180:F180"/>
    <mergeCell ref="E89:F89"/>
    <mergeCell ref="E157:F157"/>
    <mergeCell ref="E158:F158"/>
    <mergeCell ref="E152:F152"/>
    <mergeCell ref="E153:F153"/>
    <mergeCell ref="E150:F150"/>
    <mergeCell ref="E155:F155"/>
    <mergeCell ref="E156:F156"/>
    <mergeCell ref="E154:F154"/>
    <mergeCell ref="E143:F143"/>
    <mergeCell ref="E144:F144"/>
    <mergeCell ref="E145:F145"/>
    <mergeCell ref="E146:F146"/>
    <mergeCell ref="E147:F147"/>
    <mergeCell ref="E148:F148"/>
    <mergeCell ref="E159:F159"/>
    <mergeCell ref="A1:E1"/>
    <mergeCell ref="C228:H229"/>
    <mergeCell ref="B228:B229"/>
    <mergeCell ref="E35:F36"/>
    <mergeCell ref="E76:F76"/>
    <mergeCell ref="E80:F80"/>
    <mergeCell ref="E82:F82"/>
    <mergeCell ref="E81:F81"/>
    <mergeCell ref="E92:F92"/>
    <mergeCell ref="C225:H225"/>
    <mergeCell ref="C223:H223"/>
    <mergeCell ref="C224:H224"/>
    <mergeCell ref="E171:F171"/>
    <mergeCell ref="E182:F182"/>
    <mergeCell ref="E183:F183"/>
    <mergeCell ref="E178:F178"/>
    <mergeCell ref="E179:F179"/>
    <mergeCell ref="E181:F181"/>
    <mergeCell ref="E172:F172"/>
    <mergeCell ref="E173:F173"/>
    <mergeCell ref="E174:F174"/>
    <mergeCell ref="E165:F165"/>
    <mergeCell ref="C226:H226"/>
    <mergeCell ref="E87:F87"/>
  </mergeCells>
  <pageMargins left="0.19685039370078741" right="0.19685039370078741" top="0.15748031496062992" bottom="0.27559055118110237" header="0.31496062992125984" footer="0.31496062992125984"/>
  <pageSetup paperSize="9" scale="59" fitToHeight="0" orientation="portrait" r:id="rId1"/>
  <headerFooter>
    <oddFooter>&amp;C&amp;P из &amp;N</oddFooter>
  </headerFooter>
  <ignoredErrors>
    <ignoredError sqref="B128"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7:S90"/>
  <sheetViews>
    <sheetView topLeftCell="C20" workbookViewId="0">
      <selection activeCell="N22" sqref="N22"/>
    </sheetView>
  </sheetViews>
  <sheetFormatPr defaultRowHeight="15"/>
  <cols>
    <col min="5" max="5" width="15" customWidth="1"/>
    <col min="6" max="6" width="15" style="1" customWidth="1"/>
    <col min="7" max="7" width="10.85546875" customWidth="1"/>
    <col min="8" max="8" width="10.85546875" style="1" customWidth="1"/>
    <col min="9" max="9" width="18.42578125" customWidth="1"/>
    <col min="10" max="10" width="18.42578125" style="1" customWidth="1"/>
    <col min="11" max="11" width="19.140625" customWidth="1"/>
    <col min="12" max="12" width="11.42578125" style="1" customWidth="1"/>
    <col min="13" max="13" width="11.42578125" customWidth="1"/>
    <col min="14" max="14" width="13" customWidth="1"/>
  </cols>
  <sheetData>
    <row r="7" spans="3:19">
      <c r="P7" s="408" t="s">
        <v>102</v>
      </c>
      <c r="Q7" s="408"/>
      <c r="R7" s="408"/>
    </row>
    <row r="9" spans="3:19">
      <c r="E9" t="s">
        <v>96</v>
      </c>
      <c r="F9" s="1" t="s">
        <v>101</v>
      </c>
      <c r="G9" t="s">
        <v>97</v>
      </c>
      <c r="H9" s="1" t="s">
        <v>101</v>
      </c>
      <c r="I9" t="s">
        <v>98</v>
      </c>
      <c r="J9" s="1" t="s">
        <v>101</v>
      </c>
      <c r="K9" t="s">
        <v>99</v>
      </c>
      <c r="L9" s="1" t="s">
        <v>101</v>
      </c>
      <c r="N9" t="s">
        <v>100</v>
      </c>
    </row>
    <row r="10" spans="3:19">
      <c r="C10">
        <v>4</v>
      </c>
      <c r="E10" s="4"/>
      <c r="F10" s="4"/>
      <c r="G10" s="4"/>
      <c r="H10" s="4"/>
      <c r="I10" s="4">
        <v>19749.400000000001</v>
      </c>
      <c r="J10" s="4">
        <f>I13/I10</f>
        <v>1.450261780104712</v>
      </c>
      <c r="K10" s="4"/>
      <c r="L10" s="4"/>
      <c r="P10" s="4"/>
      <c r="Q10" s="4"/>
      <c r="R10" s="4"/>
      <c r="S10" s="4"/>
    </row>
    <row r="11" spans="3:19">
      <c r="C11">
        <v>8</v>
      </c>
      <c r="E11" s="4">
        <v>22582.560000000001</v>
      </c>
      <c r="F11" s="4">
        <f>E13/E11</f>
        <v>1.3965201465201464</v>
      </c>
      <c r="G11" s="4"/>
      <c r="H11" s="4"/>
      <c r="I11" s="4">
        <v>22131.360000000001</v>
      </c>
      <c r="J11" s="4">
        <f>I13/I11</f>
        <v>1.2941726129799525</v>
      </c>
      <c r="K11" s="4">
        <v>49300</v>
      </c>
      <c r="L11" s="4">
        <f>K13/K11</f>
        <v>1.0286004056795133</v>
      </c>
      <c r="M11" s="4">
        <v>68958.399999999994</v>
      </c>
      <c r="N11" s="4">
        <v>25643.200000000001</v>
      </c>
      <c r="P11" s="4">
        <v>902.59</v>
      </c>
      <c r="Q11" s="4">
        <f>P13/P11</f>
        <v>1.3198462203215191</v>
      </c>
      <c r="R11" s="4">
        <v>635.03</v>
      </c>
      <c r="S11" s="4">
        <f>R13/R11</f>
        <v>1.331165456750075</v>
      </c>
    </row>
    <row r="12" spans="3:19">
      <c r="C12">
        <v>12</v>
      </c>
      <c r="E12" s="4"/>
      <c r="F12" s="4"/>
      <c r="G12" s="4">
        <v>32476.6</v>
      </c>
      <c r="H12" s="4">
        <f>G13/G12</f>
        <v>1.0825024787077466</v>
      </c>
      <c r="I12" s="4">
        <v>25436.400000000001</v>
      </c>
      <c r="J12" s="4">
        <f>I13/I12</f>
        <v>1.1260162601626016</v>
      </c>
      <c r="K12" s="4"/>
      <c r="L12" s="4"/>
      <c r="N12" s="4"/>
      <c r="P12" s="4"/>
      <c r="Q12" s="4"/>
      <c r="R12" s="4"/>
      <c r="S12" s="4"/>
    </row>
    <row r="13" spans="3:19">
      <c r="C13" s="5">
        <v>16</v>
      </c>
      <c r="D13" s="5"/>
      <c r="E13" s="6">
        <v>31537</v>
      </c>
      <c r="F13" s="6">
        <v>1</v>
      </c>
      <c r="G13" s="6">
        <v>35156</v>
      </c>
      <c r="H13" s="6">
        <v>1</v>
      </c>
      <c r="I13" s="6">
        <v>28641.8</v>
      </c>
      <c r="J13" s="6">
        <v>1</v>
      </c>
      <c r="K13" s="6">
        <v>50710</v>
      </c>
      <c r="L13" s="6">
        <v>1</v>
      </c>
      <c r="M13" s="5"/>
      <c r="N13" s="6"/>
      <c r="O13" s="5"/>
      <c r="P13" s="6">
        <v>1191.28</v>
      </c>
      <c r="Q13" s="6">
        <v>1</v>
      </c>
      <c r="R13" s="6">
        <v>845.33</v>
      </c>
      <c r="S13" s="6">
        <v>1</v>
      </c>
    </row>
    <row r="14" spans="3:19">
      <c r="C14">
        <v>24</v>
      </c>
      <c r="E14" s="4">
        <v>37741</v>
      </c>
      <c r="F14" s="4">
        <f>E16/E14</f>
        <v>1.4684184308841843</v>
      </c>
      <c r="G14" s="4">
        <v>40765.919999999998</v>
      </c>
      <c r="H14" s="4">
        <f>G16/G14</f>
        <v>1.6555294226157535</v>
      </c>
      <c r="I14" s="4">
        <v>34535.599999999999</v>
      </c>
      <c r="J14" s="4">
        <f>I16/I14</f>
        <v>1.5299401197604792</v>
      </c>
      <c r="K14" s="4"/>
      <c r="L14" s="4"/>
      <c r="N14" s="4"/>
      <c r="P14" s="4">
        <v>1243.31</v>
      </c>
      <c r="Q14" s="4">
        <f>P16/P14</f>
        <v>1.5797347403302475</v>
      </c>
      <c r="R14" s="4">
        <v>1114.01</v>
      </c>
      <c r="S14" s="4">
        <f>R16/R14</f>
        <v>1.915440615434332</v>
      </c>
    </row>
    <row r="15" spans="3:19">
      <c r="C15">
        <v>32</v>
      </c>
      <c r="E15" s="4">
        <v>44770.32</v>
      </c>
      <c r="F15" s="4">
        <f>E16/E15</f>
        <v>1.2378642815150751</v>
      </c>
      <c r="G15" s="4">
        <v>48831.12</v>
      </c>
      <c r="H15" s="4">
        <f>G16/G15</f>
        <v>1.3820936320936319</v>
      </c>
      <c r="I15" s="4">
        <v>40429.4</v>
      </c>
      <c r="J15" s="4">
        <f>I16/I15</f>
        <v>1.3069053708439897</v>
      </c>
      <c r="K15" s="4">
        <v>53899</v>
      </c>
      <c r="L15" s="4"/>
      <c r="N15" s="4"/>
      <c r="P15" s="4">
        <v>1321.65</v>
      </c>
      <c r="Q15" s="4">
        <f>P16/P15</f>
        <v>1.4860969242991713</v>
      </c>
      <c r="R15" s="4">
        <v>1350.96</v>
      </c>
      <c r="S15" s="4">
        <f>R16/R15</f>
        <v>1.5794842186297153</v>
      </c>
    </row>
    <row r="16" spans="3:19">
      <c r="C16" s="5">
        <v>48</v>
      </c>
      <c r="D16" s="5"/>
      <c r="E16" s="6">
        <v>55419.58</v>
      </c>
      <c r="F16" s="6">
        <v>1</v>
      </c>
      <c r="G16" s="6">
        <v>67489.179999999993</v>
      </c>
      <c r="H16" s="6">
        <v>1</v>
      </c>
      <c r="I16" s="6">
        <v>52837.4</v>
      </c>
      <c r="J16" s="6">
        <v>1</v>
      </c>
      <c r="K16" s="6"/>
      <c r="L16" s="6"/>
      <c r="M16" s="5"/>
      <c r="N16" s="6">
        <v>44533.440000000002</v>
      </c>
      <c r="O16" s="5"/>
      <c r="P16" s="6">
        <v>1964.1</v>
      </c>
      <c r="Q16" s="6">
        <v>1</v>
      </c>
      <c r="R16" s="6">
        <v>2133.8200000000002</v>
      </c>
      <c r="S16" s="6">
        <v>1</v>
      </c>
    </row>
    <row r="17" spans="3:19">
      <c r="C17">
        <v>64</v>
      </c>
      <c r="E17" s="4">
        <v>67520.2</v>
      </c>
      <c r="F17" s="4">
        <f>E16/E17</f>
        <v>0.82078518724766814</v>
      </c>
      <c r="G17" s="4">
        <v>79928.2</v>
      </c>
      <c r="H17" s="4">
        <f>G16/G17</f>
        <v>0.84437257438551094</v>
      </c>
      <c r="I17" s="4"/>
      <c r="J17" s="4"/>
      <c r="K17" s="4">
        <v>87242</v>
      </c>
      <c r="L17" s="4"/>
      <c r="N17" s="4"/>
      <c r="P17" s="4">
        <v>4263.93</v>
      </c>
      <c r="Q17" s="4"/>
      <c r="R17" s="4">
        <v>2791.69</v>
      </c>
      <c r="S17" s="4"/>
    </row>
    <row r="18" spans="3:19">
      <c r="C18">
        <v>72</v>
      </c>
      <c r="E18" s="4">
        <v>72079.199999999997</v>
      </c>
      <c r="F18" s="4">
        <f>E16/E18</f>
        <v>0.76887063119457488</v>
      </c>
      <c r="G18" s="4"/>
      <c r="H18" s="4"/>
      <c r="I18" s="4"/>
      <c r="J18" s="4"/>
      <c r="K18" s="4"/>
      <c r="L18" s="4"/>
      <c r="N18" s="4"/>
      <c r="P18" s="4"/>
      <c r="Q18" s="4"/>
      <c r="R18" s="4"/>
      <c r="S18" s="4"/>
    </row>
    <row r="19" spans="3:19">
      <c r="C19">
        <v>96</v>
      </c>
      <c r="E19" s="4">
        <v>88710.56</v>
      </c>
      <c r="F19" s="4">
        <f>E16/E19</f>
        <v>0.62472359547724654</v>
      </c>
      <c r="G19" s="4">
        <v>104227.2</v>
      </c>
      <c r="H19" s="4">
        <f>G16/G19</f>
        <v>0.64751984126984119</v>
      </c>
      <c r="I19" s="4">
        <v>89958</v>
      </c>
      <c r="J19" s="4">
        <f>I16/I19</f>
        <v>0.58735632183908049</v>
      </c>
      <c r="K19" s="4"/>
      <c r="L19" s="4"/>
      <c r="N19" s="4"/>
      <c r="P19" s="4">
        <v>4514.21</v>
      </c>
      <c r="Q19" s="4"/>
      <c r="R19" s="4">
        <v>3896.54</v>
      </c>
      <c r="S19" s="4"/>
    </row>
    <row r="20" spans="3:19">
      <c r="N20" s="4"/>
      <c r="P20" s="4"/>
      <c r="Q20" s="4"/>
      <c r="R20" s="4"/>
      <c r="S20" s="4"/>
    </row>
    <row r="21" spans="3:19">
      <c r="N21" s="4"/>
      <c r="P21" s="4"/>
      <c r="Q21" s="4"/>
      <c r="R21" s="4"/>
      <c r="S21" s="4"/>
    </row>
    <row r="22" spans="3:19">
      <c r="N22" s="4"/>
      <c r="P22" s="4"/>
      <c r="Q22" s="4"/>
      <c r="R22" s="4"/>
      <c r="S22" s="4"/>
    </row>
    <row r="23" spans="3:19">
      <c r="N23" s="4"/>
      <c r="P23" s="4"/>
      <c r="Q23" s="4"/>
      <c r="R23" s="4"/>
      <c r="S23" s="4"/>
    </row>
    <row r="24" spans="3:19">
      <c r="I24">
        <v>27444.05</v>
      </c>
      <c r="K24" s="4">
        <f>G16+P16-G14-P14</f>
        <v>27444.05</v>
      </c>
      <c r="N24" s="4"/>
      <c r="P24" s="4"/>
      <c r="Q24" s="4"/>
      <c r="R24" s="4"/>
      <c r="S24" s="4"/>
    </row>
    <row r="25" spans="3:19">
      <c r="E25" s="4">
        <f>E16/E13</f>
        <v>1.7572876304023846</v>
      </c>
      <c r="F25" s="4"/>
      <c r="G25" s="4"/>
      <c r="H25" s="4"/>
      <c r="I25" s="4">
        <f>I13/I11</f>
        <v>1.2941726129799525</v>
      </c>
      <c r="J25" s="4"/>
      <c r="K25" s="4">
        <f>G16+P16-G15-P15</f>
        <v>19300.509999999995</v>
      </c>
      <c r="L25" s="4"/>
      <c r="M25" s="4"/>
      <c r="N25" s="4"/>
      <c r="O25" s="4"/>
      <c r="P25" s="4"/>
      <c r="Q25" s="4"/>
      <c r="R25" s="4"/>
      <c r="S25" s="4"/>
    </row>
    <row r="26" spans="3:19">
      <c r="E26" s="4"/>
      <c r="F26" s="4"/>
      <c r="G26" s="4"/>
      <c r="H26" s="4"/>
      <c r="I26" s="4">
        <v>18399.37</v>
      </c>
      <c r="J26" s="4"/>
      <c r="K26" s="4">
        <f>G13+P13-G12-P13</f>
        <v>2679.4000000000005</v>
      </c>
      <c r="L26" s="4"/>
      <c r="M26" s="4"/>
      <c r="N26" s="4"/>
      <c r="O26" s="4"/>
      <c r="P26" s="4"/>
      <c r="Q26" s="4"/>
      <c r="R26" s="4"/>
      <c r="S26" s="4"/>
    </row>
    <row r="27" spans="3:19">
      <c r="E27" s="4"/>
      <c r="F27" s="4"/>
      <c r="G27" s="4"/>
      <c r="H27" s="4"/>
      <c r="I27" s="4">
        <v>19300.509999999998</v>
      </c>
      <c r="J27" s="4"/>
      <c r="K27" s="4">
        <f>E16+P16-E14-P14</f>
        <v>18399.37</v>
      </c>
      <c r="L27" s="4"/>
      <c r="M27" s="4"/>
      <c r="N27" s="4"/>
      <c r="O27" s="4"/>
      <c r="P27" s="4"/>
      <c r="Q27" s="4"/>
      <c r="R27" s="4"/>
      <c r="S27" s="4"/>
    </row>
    <row r="28" spans="3:19">
      <c r="E28" s="4"/>
      <c r="F28" s="4"/>
      <c r="G28" s="4"/>
      <c r="H28" s="4"/>
      <c r="I28" s="4">
        <v>3205.4</v>
      </c>
      <c r="J28" s="4"/>
      <c r="K28" s="4">
        <f>I13+P13-I12-P13</f>
        <v>3205.3999999999969</v>
      </c>
      <c r="L28" s="4"/>
      <c r="M28" s="4"/>
      <c r="N28" s="4"/>
      <c r="O28" s="4"/>
      <c r="P28" s="4"/>
      <c r="Q28" s="4"/>
      <c r="R28" s="4"/>
      <c r="S28" s="4"/>
    </row>
    <row r="29" spans="3:19">
      <c r="E29" s="4"/>
      <c r="F29" s="4"/>
      <c r="G29" s="4"/>
      <c r="H29" s="4"/>
      <c r="I29" s="4"/>
      <c r="J29" s="4"/>
      <c r="K29" s="4">
        <f>I13+P13-I11-P11</f>
        <v>6799.1299999999974</v>
      </c>
      <c r="L29" s="4"/>
      <c r="M29" s="4"/>
      <c r="N29" s="4"/>
      <c r="O29" s="4"/>
      <c r="P29" s="4"/>
      <c r="Q29" s="4"/>
      <c r="R29" s="4"/>
      <c r="S29" s="4"/>
    </row>
    <row r="30" spans="3:19">
      <c r="E30" s="4"/>
      <c r="F30" s="4"/>
      <c r="G30" s="4"/>
      <c r="H30" s="4"/>
      <c r="I30" s="4">
        <v>11291.71</v>
      </c>
      <c r="J30" s="4"/>
      <c r="K30" s="4">
        <f>E13+P13-E11-P11</f>
        <v>9243.1299999999974</v>
      </c>
      <c r="L30" s="4"/>
      <c r="M30" s="4"/>
      <c r="N30" s="4"/>
      <c r="O30" s="4"/>
      <c r="P30" s="4"/>
      <c r="Q30" s="4"/>
      <c r="R30" s="4"/>
      <c r="S30" s="4"/>
    </row>
    <row r="31" spans="3:19">
      <c r="E31" s="4"/>
      <c r="F31" s="4"/>
      <c r="G31" s="4"/>
      <c r="H31" s="4"/>
      <c r="I31" s="4">
        <f>I16+P16-I15-P15</f>
        <v>13050.449999999999</v>
      </c>
      <c r="J31" s="4"/>
      <c r="K31" s="4"/>
      <c r="L31" s="4"/>
      <c r="M31" s="4"/>
      <c r="N31" s="4"/>
      <c r="O31" s="4"/>
    </row>
    <row r="32" spans="3:19">
      <c r="E32" s="4"/>
      <c r="F32" s="4"/>
      <c r="G32" s="4"/>
      <c r="H32" s="4"/>
      <c r="I32" s="4"/>
      <c r="J32" s="4"/>
      <c r="K32" s="4">
        <f>I13+P13-I10-P11</f>
        <v>9181.0899999999965</v>
      </c>
      <c r="L32" s="4"/>
      <c r="M32" s="4"/>
      <c r="N32" s="4"/>
      <c r="O32" s="4"/>
    </row>
    <row r="33" spans="5:15">
      <c r="E33" s="4"/>
      <c r="F33" s="4"/>
      <c r="G33" s="4"/>
      <c r="H33" s="4"/>
      <c r="I33" s="4">
        <v>9243.1299999999992</v>
      </c>
      <c r="J33" s="4"/>
      <c r="K33" s="4"/>
      <c r="L33" s="4"/>
      <c r="M33" s="4"/>
      <c r="N33" s="4"/>
      <c r="O33" s="4"/>
    </row>
    <row r="34" spans="5:15">
      <c r="E34" s="4"/>
      <c r="F34" s="4"/>
      <c r="G34" s="4"/>
      <c r="H34" s="4"/>
      <c r="I34" s="4">
        <v>6799.13</v>
      </c>
      <c r="J34" s="4"/>
      <c r="K34" s="4">
        <f>E16+P16-E15-P15</f>
        <v>11291.710000000001</v>
      </c>
      <c r="L34" s="4"/>
      <c r="M34" s="4"/>
      <c r="N34" s="4"/>
      <c r="O34" s="4"/>
    </row>
    <row r="35" spans="5:15">
      <c r="E35" s="4"/>
      <c r="F35" s="4"/>
      <c r="G35" s="4"/>
      <c r="H35" s="4"/>
      <c r="I35" s="4"/>
      <c r="J35" s="4"/>
      <c r="K35" s="4"/>
      <c r="L35" s="4"/>
      <c r="M35" s="4"/>
      <c r="N35" s="4"/>
      <c r="O35" s="4"/>
    </row>
    <row r="36" spans="5:15">
      <c r="E36" s="4"/>
      <c r="F36" s="4"/>
      <c r="G36" s="4"/>
      <c r="H36" s="4"/>
      <c r="I36" s="4">
        <v>9181.09</v>
      </c>
      <c r="J36" s="4"/>
      <c r="K36" s="4">
        <f>I16+P16-I14-P14</f>
        <v>19022.59</v>
      </c>
      <c r="L36" s="4"/>
      <c r="M36" s="4"/>
      <c r="N36" s="4"/>
      <c r="O36" s="4"/>
    </row>
    <row r="38" spans="5:15">
      <c r="I38">
        <v>13050.45</v>
      </c>
    </row>
    <row r="39" spans="5:15">
      <c r="I39">
        <v>19022.59</v>
      </c>
    </row>
    <row r="41" spans="5:15">
      <c r="I41">
        <v>2679.4</v>
      </c>
    </row>
    <row r="90" spans="12:12">
      <c r="L90" s="1">
        <f>L92</f>
        <v>0</v>
      </c>
    </row>
  </sheetData>
  <mergeCells count="1">
    <mergeCell ref="P7:R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Документ" ma:contentTypeID="0x0101003DB32614A8CA5645998060F890075BA2" ma:contentTypeVersion="1" ma:contentTypeDescription="Создание документа." ma:contentTypeScope="" ma:versionID="3ad6f12bd4605a09c16bc6b1afc65a47">
  <xsd:schema xmlns:xsd="http://www.w3.org/2001/XMLSchema" xmlns:xs="http://www.w3.org/2001/XMLSchema" xmlns:p="http://schemas.microsoft.com/office/2006/metadata/properties" xmlns:ns2="5e6c0303-ad91-48bf-9137-7f71397ddaf7" targetNamespace="http://schemas.microsoft.com/office/2006/metadata/properties" ma:root="true" ma:fieldsID="d2a76e79dce9092fa0f39d6f90b8fe75" ns2:_="">
    <xsd:import namespace="5e6c0303-ad91-48bf-9137-7f71397ddaf7"/>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6c0303-ad91-48bf-9137-7f71397ddaf7" elementFormDefault="qualified">
    <xsd:import namespace="http://schemas.microsoft.com/office/2006/documentManagement/types"/>
    <xsd:import namespace="http://schemas.microsoft.com/office/infopath/2007/PartnerControls"/>
    <xsd:element name="_dlc_DocId" ma:index="8" nillable="true" ma:displayName="Значение идентификатора документа" ma:description="Значение идентификатора документа, присвоенного данному элементу." ma:internalName="_dlc_DocId" ma:readOnly="true">
      <xsd:simpleType>
        <xsd:restriction base="dms:Text"/>
      </xsd:simpleType>
    </xsd:element>
    <xsd:element name="_dlc_DocIdUrl" ma:index="9" nillable="true" ma:displayName="Идентификатор документа" ma:description="Постоянная ссылка на этот документ."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5e6c0303-ad91-48bf-9137-7f71397ddaf7">FWXPAAYJEK5K-13-423</_dlc_DocId>
    <_dlc_DocIdUrl xmlns="5e6c0303-ad91-48bf-9137-7f71397ddaf7">
      <Url>http://sps.bis.bashtel.ru/ts/oks/_layouts/15/DocIdRedir.aspx?ID=FWXPAAYJEK5K-13-423</Url>
      <Description>FWXPAAYJEK5K-13-423</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9D97625-F1E8-4C21-BD14-46FE0B5140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6c0303-ad91-48bf-9137-7f71397dda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5305152-5995-4C17-BFC2-0E329D8BA512}">
  <ds:schemaRefs>
    <ds:schemaRef ds:uri="http://schemas.microsoft.com/sharepoint/v3/contenttype/forms"/>
  </ds:schemaRefs>
</ds:datastoreItem>
</file>

<file path=customXml/itemProps3.xml><?xml version="1.0" encoding="utf-8"?>
<ds:datastoreItem xmlns:ds="http://schemas.openxmlformats.org/officeDocument/2006/customXml" ds:itemID="{EA0F87C2-439D-4D0E-BA5D-26B2858DF7AC}">
  <ds:schemaRefs>
    <ds:schemaRef ds:uri="http://purl.org/dc/elements/1.1/"/>
    <ds:schemaRef ds:uri="http://schemas.microsoft.com/office/2006/metadata/properties"/>
    <ds:schemaRef ds:uri="http://purl.org/dc/terms/"/>
    <ds:schemaRef ds:uri="http://www.w3.org/XML/1998/namespace"/>
    <ds:schemaRef ds:uri="http://schemas.microsoft.com/office/2006/documentManagement/types"/>
    <ds:schemaRef ds:uri="http://purl.org/dc/dcmitype/"/>
    <ds:schemaRef ds:uri="http://schemas.openxmlformats.org/package/2006/metadata/core-properties"/>
    <ds:schemaRef ds:uri="http://schemas.microsoft.com/office/infopath/2007/PartnerControls"/>
    <ds:schemaRef ds:uri="5e6c0303-ad91-48bf-9137-7f71397ddaf7"/>
  </ds:schemaRefs>
</ds:datastoreItem>
</file>

<file path=customXml/itemProps4.xml><?xml version="1.0" encoding="utf-8"?>
<ds:datastoreItem xmlns:ds="http://schemas.openxmlformats.org/officeDocument/2006/customXml" ds:itemID="{2E1C2DD0-E322-465F-9290-4FDFEEE46501}">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УР на компл. решения-2 этап</vt:lpstr>
      <vt:lpstr>Лист1</vt:lpstr>
      <vt:lpstr>'УР на компл. решения-2 этап'!Область_печати</vt:lpstr>
    </vt:vector>
  </TitlesOfParts>
  <Company>VolgaTelecom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i.zaikova</dc:creator>
  <cp:lastModifiedBy>Данилова Татьяна Владимировна</cp:lastModifiedBy>
  <cp:lastPrinted>2019-04-17T13:09:50Z</cp:lastPrinted>
  <dcterms:created xsi:type="dcterms:W3CDTF">2015-10-20T08:32:48Z</dcterms:created>
  <dcterms:modified xsi:type="dcterms:W3CDTF">2019-04-24T08:30:01Z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b8a6a103-80f7-4cd1-a315-a6268cc8074c</vt:lpwstr>
  </property>
  <property fmtid="{D5CDD505-2E9C-101B-9397-08002B2CF9AE}" pid="3" name="ContentTypeId">
    <vt:lpwstr>0x0101003DB32614A8CA5645998060F890075BA2</vt:lpwstr>
  </property>
</Properties>
</file>